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680" windowWidth="20610" windowHeight="11640" tabRatio="788" firstSheet="9" activeTab="25"/>
  </bookViews>
  <sheets>
    <sheet name="Vai A" sheetId="1" r:id="rId1"/>
    <sheet name="equilibrio eff" sheetId="2" state="hidden" r:id="rId2"/>
    <sheet name="Inserimento dati" sheetId="3" r:id="rId3"/>
    <sheet name="Saldo cassa" sheetId="4" r:id="rId4"/>
    <sheet name="Quadro gen riass" sheetId="5" r:id="rId5"/>
    <sheet name="Ris Gest comp" sheetId="6" state="hidden" r:id="rId6"/>
    <sheet name="Equilibrio corr e cap" sheetId="7" r:id="rId7"/>
    <sheet name="Entrate dest spec" sheetId="8" r:id="rId8"/>
    <sheet name="equil staordinaria" sheetId="9" r:id="rId9"/>
    <sheet name="avanzo" sheetId="10" r:id="rId10"/>
    <sheet name="Risultato Amministrazione" sheetId="11" state="hidden" r:id="rId11"/>
    <sheet name="Conciliazione ris" sheetId="12" state="hidden" r:id="rId12"/>
    <sheet name="Trend storico comp" sheetId="13" state="hidden" r:id="rId13"/>
    <sheet name="patto stabilità consuntivo" sheetId="14" state="hidden" r:id="rId14"/>
    <sheet name="patto stabilità prev" sheetId="15" r:id="rId15"/>
    <sheet name="Entrate Tributarie" sheetId="16" r:id="rId16"/>
    <sheet name="recupero evasione" sheetId="17" r:id="rId17"/>
    <sheet name="TARSU + Oneri Urb" sheetId="18" r:id="rId18"/>
    <sheet name="Trasferimenti + Extratrib." sheetId="19" state="hidden" r:id="rId19"/>
    <sheet name="Servizi cons" sheetId="20" state="hidden" r:id="rId20"/>
    <sheet name="servizi prev" sheetId="21" r:id="rId21"/>
    <sheet name="codice della strada" sheetId="22" r:id="rId22"/>
    <sheet name="proventi beni ente" sheetId="23" state="hidden" r:id="rId23"/>
    <sheet name="spese x intervento" sheetId="24" r:id="rId24"/>
    <sheet name="Spese per il personale" sheetId="25" r:id="rId25"/>
    <sheet name="Riduzioni spesa" sheetId="26" r:id="rId26"/>
    <sheet name="Componenti spesa personale" sheetId="27" state="hidden" r:id="rId27"/>
    <sheet name="ORGANISMI PARTECIPATI" sheetId="28" r:id="rId28"/>
    <sheet name="Organismi controllati" sheetId="29" r:id="rId29"/>
    <sheet name="Spese in conto capitale" sheetId="30" r:id="rId30"/>
    <sheet name="leasing" sheetId="31" r:id="rId31"/>
    <sheet name="SERVIZI CONTO TERZI " sheetId="32" state="hidden" r:id="rId32"/>
    <sheet name="Capacità indebitamento" sheetId="33" r:id="rId33"/>
    <sheet name="Indebitamento" sheetId="34" r:id="rId34"/>
    <sheet name="Derivati (rev)" sheetId="35" state="hidden" r:id="rId35"/>
    <sheet name="Derivati" sheetId="36" r:id="rId36"/>
    <sheet name="Destinazione finanziamenti" sheetId="37" state="hidden" r:id="rId37"/>
    <sheet name="Residui" sheetId="38" state="hidden" r:id="rId38"/>
    <sheet name="Anzianità residui" sheetId="39" state="hidden" r:id="rId39"/>
    <sheet name="Debiti FB" sheetId="40" state="hidden" r:id="rId40"/>
    <sheet name="Confronto prev cons" sheetId="41" state="hidden" r:id="rId41"/>
    <sheet name="PROSPETTO DI CONCILIAZIONE" sheetId="42" state="hidden" r:id="rId42"/>
    <sheet name="CONTO ECONOMICO" sheetId="43" state="hidden" r:id="rId43"/>
    <sheet name="proventi e oneri extra" sheetId="44" state="hidden" r:id="rId44"/>
    <sheet name="CONTO DEL PATRIMONIO" sheetId="45" state="hidden" r:id="rId45"/>
    <sheet name="Variaz Immob mat" sheetId="46" state="hidden" r:id="rId46"/>
    <sheet name="Valutazione partecipate" sheetId="47" state="hidden" r:id="rId47"/>
    <sheet name="saldo IVA" sheetId="48" state="hidden" r:id="rId48"/>
    <sheet name="pluriennale gen" sheetId="49" r:id="rId49"/>
    <sheet name="pluriennale spesa" sheetId="50" r:id="rId50"/>
    <sheet name="copertura invest" sheetId="51" r:id="rId51"/>
  </sheets>
  <definedNames>
    <definedName name="_xlfn.SUMIFS" hidden="1">#NAME?</definedName>
    <definedName name="AINC08">'Inserimento dati'!$B$62</definedName>
    <definedName name="AINC09">'Inserimento dati'!$C$62</definedName>
    <definedName name="AINC10">'Inserimento dati'!$D$62</definedName>
    <definedName name="AINC11">'Inserimento dati'!$E$62</definedName>
    <definedName name="AINC12">'Inserimento dati'!$F$62</definedName>
    <definedName name="AINC13">'Inserimento dati'!$I$62</definedName>
    <definedName name="AINCA13">'Inserimento dati'!$H$62</definedName>
    <definedName name="AINCP13">'Inserimento dati'!$G$62</definedName>
    <definedName name="AINCP14">'Inserimento dati'!$J$62</definedName>
    <definedName name="Analisi_residui">'Anzianità residui'!$A$1</definedName>
    <definedName name="Anticipazioni_di_cassa">'Capacità indebitamento'!$A$14</definedName>
    <definedName name="anticipazioni_di_tesoreria">'Saldo cassa'!$F$39</definedName>
    <definedName name="Applicazione_dell_avanzo_nel_2013">'Risultato Amministrazione'!$F$21</definedName>
    <definedName name="_xlnm.Print_Area" localSheetId="14">'patto stabilità prev'!$A$42:$G$64</definedName>
    <definedName name="ASCA08">'Inserimento dati'!$B$22</definedName>
    <definedName name="ASCA09">'Inserimento dati'!$C$22</definedName>
    <definedName name="ASCA10">'Inserimento dati'!$D$22</definedName>
    <definedName name="ASCA11">'Inserimento dati'!$E$22</definedName>
    <definedName name="ASCA12">'Inserimento dati'!$F$22</definedName>
    <definedName name="ASCA13">'Inserimento dati'!$I$22</definedName>
    <definedName name="ASCAP14">'Inserimento dati'!$J$22</definedName>
    <definedName name="ASCAP15">'Inserimento dati'!$K$22</definedName>
    <definedName name="ASCAP16">'Inserimento dati'!$L$22</definedName>
    <definedName name="ASCO08">'Inserimento dati'!$B$21</definedName>
    <definedName name="ASCO09">'Inserimento dati'!$C$21</definedName>
    <definedName name="ASCO10">'Inserimento dati'!$D$21</definedName>
    <definedName name="ASCO11">'Inserimento dati'!$E$21</definedName>
    <definedName name="ASCO12">'Inserimento dati'!$F$21</definedName>
    <definedName name="ASCO13">'Inserimento dati'!$I$21</definedName>
    <definedName name="ASCOP14">'Inserimento dati'!$J$21</definedName>
    <definedName name="ASCOP15">'Inserimento dati'!$K$21</definedName>
    <definedName name="ASCOP16">'Inserimento dati'!$L$21</definedName>
    <definedName name="AVA08">'Inserimento dati'!$B$19</definedName>
    <definedName name="AVA09">'Inserimento dati'!$C$19</definedName>
    <definedName name="AVA10">'Inserimento dati'!$D$19</definedName>
    <definedName name="AVA11">'Inserimento dati'!$E$19</definedName>
    <definedName name="AVA12">'Inserimento dati'!$F$19</definedName>
    <definedName name="AVA13">'Inserimento dati'!$I$19</definedName>
    <definedName name="Avanzo_presunto_applicato">'avanzo'!$A$1</definedName>
    <definedName name="AVAP14">'Inserimento dati'!$J$19</definedName>
    <definedName name="AVAP15">'Inserimento dati'!$K$19</definedName>
    <definedName name="AVAP16">'Inserimento dati'!$L$19</definedName>
    <definedName name="CDS_residui">'codice della strada'!$A$14</definedName>
    <definedName name="CDS_vinc">'codice della strada'!$A$6</definedName>
    <definedName name="CDS08">'Inserimento dati'!$B$39</definedName>
    <definedName name="CDS09">'Inserimento dati'!$C$39</definedName>
    <definedName name="CDS10">'Inserimento dati'!$D$39</definedName>
    <definedName name="CDS11">'Inserimento dati'!$E$39</definedName>
    <definedName name="CDS12">'Inserimento dati'!$F$39</definedName>
    <definedName name="CDS13">'Inserimento dati'!$I$39</definedName>
    <definedName name="CDSca08">'Inserimento dati'!$B$41</definedName>
    <definedName name="CDSca09">'Inserimento dati'!$C$41</definedName>
    <definedName name="CDSca10">'Inserimento dati'!$D$41</definedName>
    <definedName name="CDSca11">'Inserimento dati'!$E$41</definedName>
    <definedName name="CDSca12">'Inserimento dati'!$F$41</definedName>
    <definedName name="CDSca13">'Inserimento dati'!$I$41</definedName>
    <definedName name="CDScaP14">'Inserimento dati'!$J$41</definedName>
    <definedName name="CDScaP15">'Inserimento dati'!$K$41</definedName>
    <definedName name="CDScaP16">'Inserimento dati'!$L$41</definedName>
    <definedName name="CDSco08">'Inserimento dati'!$B$40</definedName>
    <definedName name="CDSco09">'Inserimento dati'!$C$40</definedName>
    <definedName name="CDSco10">'Inserimento dati'!$D$40</definedName>
    <definedName name="CDSco11">'Inserimento dati'!$E$40</definedName>
    <definedName name="CDSco12">'Inserimento dati'!$F$40</definedName>
    <definedName name="CDSco13">'Inserimento dati'!$I$40</definedName>
    <definedName name="CDScoP14">'Inserimento dati'!$J$40</definedName>
    <definedName name="CDScoP15">'Inserimento dati'!$K$40</definedName>
    <definedName name="CDScoP16">'Inserimento dati'!$L$40</definedName>
    <definedName name="CDSP14">'Inserimento dati'!$J$39</definedName>
    <definedName name="CDSP15">'Inserimento dati'!$K$39</definedName>
    <definedName name="CDSP16">'Inserimento dati'!$L$39</definedName>
    <definedName name="Comune">'Vai A'!$D$2</definedName>
    <definedName name="CONTO_DEL_PATRIMONIO">'CONTO DEL PATRIMONIO'!$A$1</definedName>
    <definedName name="CONTO_ECONOMICO">'CONTO ECONOMICO'!$A$1</definedName>
    <definedName name="Contrattazione_integrativa">'Spese per il personale'!$A$30</definedName>
    <definedName name="Controllo_204">'Indebitamento'!$A$3</definedName>
    <definedName name="Coperture_finanziariei_investimenti">'copertura invest'!$A$2</definedName>
    <definedName name="credito_IVA">'saldo IVA'!$A$1</definedName>
    <definedName name="debiti_fuori_bilancio">'Debiti FB'!$A$1</definedName>
    <definedName name="derivati_esistenti">'Derivati'!$A$1</definedName>
    <definedName name="destinazione_risorse_da_indebitamento">'Destinazione finanziamenti'!$A$1</definedName>
    <definedName name="dettaglio_gestione_di_competenza">'Ris Gest comp'!$A$12</definedName>
    <definedName name="differenza_destinata_2014">'Equilibrio corr e cap'!$M$25</definedName>
    <definedName name="differenza_destinata_2015">'Equilibrio corr e cap'!$M$62</definedName>
    <definedName name="differenza_destinata_2016">'Equilibrio corr e cap'!$M$87</definedName>
    <definedName name="differenza_finanziata_2014">'Equilibrio corr e cap'!$M$6</definedName>
    <definedName name="differenza_finanziata_2015">'Equilibrio corr e cap'!$M$41</definedName>
    <definedName name="differenza_finanziata_2016">'Equilibrio corr e cap'!$M$78</definedName>
    <definedName name="DIP08">'Inserimento dati'!$B$70</definedName>
    <definedName name="DIP09">'Inserimento dati'!$C$70</definedName>
    <definedName name="DIP10">'Inserimento dati'!$D$70</definedName>
    <definedName name="DIP11">'Inserimento dati'!$E$70</definedName>
    <definedName name="DIP12">'Inserimento dati'!$F$70</definedName>
    <definedName name="DIP13">'Inserimento dati'!$I$70</definedName>
    <definedName name="DISA08">'Inserimento dati'!$B$20</definedName>
    <definedName name="DISA09">'Inserimento dati'!$C$20</definedName>
    <definedName name="DISA10">'Inserimento dati'!$D$20</definedName>
    <definedName name="DISA11">'Inserimento dati'!$E$20</definedName>
    <definedName name="DISA12">'Inserimento dati'!$F$20</definedName>
    <definedName name="DISA13">'Inserimento dati'!$I$20</definedName>
    <definedName name="DISAP14">'Inserimento dati'!$J$20</definedName>
    <definedName name="DISAP15">'Inserimento dati'!$K$20</definedName>
    <definedName name="DISAP16">'Inserimento dati'!$L$20</definedName>
    <definedName name="ECO08">'Inserimento dati'!$B$7</definedName>
    <definedName name="ECO09">'Inserimento dati'!$C$7</definedName>
    <definedName name="ECO10">'Inserimento dati'!$D$7</definedName>
    <definedName name="ECO11">'Inserimento dati'!$E$7</definedName>
    <definedName name="ECO12">'Inserimento dati'!$F$7</definedName>
    <definedName name="ECO13">'Inserimento dati'!$I$7</definedName>
    <definedName name="ECOA13">'Inserimento dati'!$H$7</definedName>
    <definedName name="ECOP13">'Inserimento dati'!$G$7</definedName>
    <definedName name="ECOP14">'Inserimento dati'!$J$7</definedName>
    <definedName name="ECOP15">'Inserimento dati'!$K$7</definedName>
    <definedName name="ECOP16">'Inserimento dati'!$L$7</definedName>
    <definedName name="Entrate_a_destinazione_specifica">'Entrate dest spec'!$A$1</definedName>
    <definedName name="entrate_e_spese_non_ripetitive">'Entrate dest spec'!$E$1</definedName>
    <definedName name="entrate_recupero_evasione">'recupero evasione'!$A$1</definedName>
    <definedName name="Entrate_Tributarie">'Entrate Tributarie'!$A$1</definedName>
    <definedName name="EQCA11">'Equilibrio corr e cap'!#REF!</definedName>
    <definedName name="EQCA12">'Equilibrio corr e cap'!$B$37</definedName>
    <definedName name="EQCA13">'Equilibrio corr e cap'!$C$37</definedName>
    <definedName name="EQCO11">'Equilibrio corr e cap'!#REF!</definedName>
    <definedName name="EQCO12">'Equilibrio corr e cap'!$B$22</definedName>
    <definedName name="EQCO13">'Equilibrio corr e cap'!$C$22</definedName>
    <definedName name="EQUILIBRIO_CAPITALE_PLURIENNALE">'Equilibrio corr e cap'!$A$63</definedName>
    <definedName name="EQUILIBRIO_CORRENTE_PLURIENNALE">'Equilibrio corr e cap'!$A$42</definedName>
    <definedName name="EQUILIBRIO_DI_PARTE_CAPITALE">'Equilibrio corr e cap'!$A$26</definedName>
    <definedName name="EQUILIBRIO_DI_PARTE_CORRENTE">'Equilibrio corr e cap'!$A$3</definedName>
    <definedName name="equilibrio_parte_straordinaria">'equil staordinaria'!$A$1</definedName>
    <definedName name="ESCL08">'Inserimento dati'!$B$64</definedName>
    <definedName name="ESCL09">'Inserimento dati'!$C$64</definedName>
    <definedName name="ESCL10">'Inserimento dati'!$D$64</definedName>
    <definedName name="ESCL11">'Inserimento dati'!$E$64</definedName>
    <definedName name="ESCL12">'Inserimento dati'!$F$64</definedName>
    <definedName name="ESCL13">'Inserimento dati'!$I$64</definedName>
    <definedName name="ESCLA13">'Inserimento dati'!$H$64</definedName>
    <definedName name="ESCLP13">'Inserimento dati'!$G$64</definedName>
    <definedName name="ESCLP14">'Inserimento dati'!$J$64</definedName>
    <definedName name="ESCLUSE">'Componenti spesa personale'!$A$24</definedName>
    <definedName name="ET1A13">'Inserimento dati'!$H$4</definedName>
    <definedName name="ET1C08">'Inserimento dati'!$B$4</definedName>
    <definedName name="ET1C09">'Inserimento dati'!$C$4</definedName>
    <definedName name="ET1C10">'Inserimento dati'!$D$4</definedName>
    <definedName name="ET1C11">'Inserimento dati'!$E$4</definedName>
    <definedName name="ET1C12">'Inserimento dati'!$F$4</definedName>
    <definedName name="ET1C13">'Inserimento dati'!$I$4</definedName>
    <definedName name="ET1P13">'Inserimento dati'!$G$4</definedName>
    <definedName name="ET1P14">'Inserimento dati'!$J$4</definedName>
    <definedName name="ET1P15">'Inserimento dati'!$K$4</definedName>
    <definedName name="ET1P16">'Inserimento dati'!$L$4</definedName>
    <definedName name="ET2A13">'Inserimento dati'!$H$5</definedName>
    <definedName name="ET2C08">'Inserimento dati'!$B$5</definedName>
    <definedName name="ET2C09">'Inserimento dati'!$C$5</definedName>
    <definedName name="ET2C10">'Inserimento dati'!$D$5</definedName>
    <definedName name="ET2C11">'Inserimento dati'!$E$5</definedName>
    <definedName name="ET2C12">'Inserimento dati'!$F$5</definedName>
    <definedName name="ET2C13">'Inserimento dati'!$I$5</definedName>
    <definedName name="ET2P13">'Inserimento dati'!$G$5</definedName>
    <definedName name="ET2P14">'Inserimento dati'!$J$5</definedName>
    <definedName name="ET2P15">'Inserimento dati'!$K$5</definedName>
    <definedName name="ET2P16">'Inserimento dati'!$L$5</definedName>
    <definedName name="ET3A13">'Inserimento dati'!$H$6</definedName>
    <definedName name="ET3C08">'Inserimento dati'!$B$6</definedName>
    <definedName name="ET3C09">'Inserimento dati'!$C$6</definedName>
    <definedName name="ET3C10">'Inserimento dati'!$D$6</definedName>
    <definedName name="ET3C11">'Inserimento dati'!$E$6</definedName>
    <definedName name="ET3C12">'Inserimento dati'!$F$6</definedName>
    <definedName name="ET3C13">'Inserimento dati'!$I$6</definedName>
    <definedName name="ET3P13">'Inserimento dati'!$G$6</definedName>
    <definedName name="ET3P14">'Inserimento dati'!$J$6</definedName>
    <definedName name="ET3P15">'Inserimento dati'!$K$6</definedName>
    <definedName name="ET3P16">'Inserimento dati'!$L$6</definedName>
    <definedName name="ET4A13">'Inserimento dati'!$H$8</definedName>
    <definedName name="ET4C08">'Inserimento dati'!$B$8</definedName>
    <definedName name="ET4C09">'Inserimento dati'!$C$8</definedName>
    <definedName name="ET4C10">'Inserimento dati'!$D$8</definedName>
    <definedName name="ET4C11">'Inserimento dati'!$E$8</definedName>
    <definedName name="ET4C12">'Inserimento dati'!$F$8</definedName>
    <definedName name="ET4C13">'Inserimento dati'!$I$8</definedName>
    <definedName name="ET4P13">'Inserimento dati'!$G$8</definedName>
    <definedName name="ET4P14">'Inserimento dati'!$J$8</definedName>
    <definedName name="ET4P15">'Inserimento dati'!$K$8</definedName>
    <definedName name="ET4P16">'Inserimento dati'!$L$8</definedName>
    <definedName name="ET5A13">'Inserimento dati'!$H$9</definedName>
    <definedName name="ET5C08">'Inserimento dati'!$B$9</definedName>
    <definedName name="ET5C09">'Inserimento dati'!$C$9</definedName>
    <definedName name="ET5C10">'Inserimento dati'!$D$9</definedName>
    <definedName name="ET5C11">'Inserimento dati'!$E$9</definedName>
    <definedName name="ET5C12">'Inserimento dati'!$F$9</definedName>
    <definedName name="ET5C13">'Inserimento dati'!$I$9</definedName>
    <definedName name="ET5P13">'Inserimento dati'!$G$9</definedName>
    <definedName name="ET5P14">'Inserimento dati'!$J$9</definedName>
    <definedName name="ET5P15">'Inserimento dati'!$K$9</definedName>
    <definedName name="ET5P16">'Inserimento dati'!$L$9</definedName>
    <definedName name="ET6A13">'Inserimento dati'!$H$10</definedName>
    <definedName name="ET6C08">'Inserimento dati'!$B$10</definedName>
    <definedName name="ET6C09">'Inserimento dati'!$C$10</definedName>
    <definedName name="ET6C10">'Inserimento dati'!$D$10</definedName>
    <definedName name="ET6C11">'Inserimento dati'!$E$10</definedName>
    <definedName name="ET6C12">'Inserimento dati'!$F$10</definedName>
    <definedName name="ET6C13">'Inserimento dati'!$I$10</definedName>
    <definedName name="ET6P13">'Inserimento dati'!$G$10</definedName>
    <definedName name="ET6P14">'Inserimento dati'!$J$10</definedName>
    <definedName name="ET6P15">'Inserimento dati'!$K$10</definedName>
    <definedName name="ET6P16">'Inserimento dati'!$L$10</definedName>
    <definedName name="Evoluzione_debiti">'Debiti FB'!$F$2</definedName>
    <definedName name="evoluzione_debito">'Indebitamento'!$A$6</definedName>
    <definedName name="evoluzione_onerifin">'Indebitamento'!$A$18</definedName>
    <definedName name="evoluzione_personale">'Spese per il personale'!$H$3</definedName>
    <definedName name="evoluzione_risultato_amministrazione">'Risultato Amministrazione'!$A$20</definedName>
    <definedName name="extratributarie">'Trasferimenti + Extratrib.'!$E$17</definedName>
    <definedName name="Finanziamento_capitale">'Spese in conto capitale'!$G$1</definedName>
    <definedName name="finanziamento_spese_investimento">'Destinazione finanziamenti'!$A$17</definedName>
    <definedName name="finanziari_derivati">'Derivati (rev)'!$A$1</definedName>
    <definedName name="Fondo_di_solidarietà_comunale">'Entrate Tributarie'!$G$5</definedName>
    <definedName name="gestione_residui">'Residui'!$A$1</definedName>
    <definedName name="house_e_controllate">'Organismi controllati'!$A$1</definedName>
    <definedName name="I10A13">'Inserimento dati'!$H$53</definedName>
    <definedName name="I10C08">'Inserimento dati'!$B$53</definedName>
    <definedName name="I10C09">'Inserimento dati'!$C$53</definedName>
    <definedName name="I10C10">'Inserimento dati'!$D$53</definedName>
    <definedName name="I10C11">'Inserimento dati'!$E$53</definedName>
    <definedName name="I10C12">'Inserimento dati'!$F$53</definedName>
    <definedName name="I10C13">'Inserimento dati'!$I$53</definedName>
    <definedName name="I10P13">'Inserimento dati'!$G$53</definedName>
    <definedName name="I10P14">'Inserimento dati'!$J$53</definedName>
    <definedName name="I10P15">'Inserimento dati'!$K$53</definedName>
    <definedName name="I10P16">'Inserimento dati'!$L$53</definedName>
    <definedName name="I11A13">'Inserimento dati'!$H$54</definedName>
    <definedName name="I11C08">'Inserimento dati'!$B$54</definedName>
    <definedName name="I11C09">'Inserimento dati'!$C$54</definedName>
    <definedName name="I11C10">'Inserimento dati'!$D$54</definedName>
    <definedName name="I11C11">'Inserimento dati'!$E$54</definedName>
    <definedName name="I11C12">'Inserimento dati'!$F$54</definedName>
    <definedName name="I11C13">'Inserimento dati'!$I$54</definedName>
    <definedName name="I11P13">'Inserimento dati'!$G$54</definedName>
    <definedName name="I11P14">'Inserimento dati'!$J$54</definedName>
    <definedName name="I11P15">'Inserimento dati'!$K$54</definedName>
    <definedName name="I11P16">'Inserimento dati'!$L$54</definedName>
    <definedName name="I1A13">'Inserimento dati'!$H$44</definedName>
    <definedName name="I1C08">'Inserimento dati'!$B$44</definedName>
    <definedName name="I1C09">'Inserimento dati'!$C$44</definedName>
    <definedName name="I1C10">'Inserimento dati'!$D$44</definedName>
    <definedName name="I1C11">'Inserimento dati'!$E$44</definedName>
    <definedName name="I1C12">'Inserimento dati'!$F$44</definedName>
    <definedName name="I1C13">'Inserimento dati'!$I$44</definedName>
    <definedName name="I1P13">'Inserimento dati'!$G$44</definedName>
    <definedName name="I1P14">'Inserimento dati'!$J$44</definedName>
    <definedName name="I1P15">'Inserimento dati'!$K$44</definedName>
    <definedName name="I1P16">'Inserimento dati'!$L$44</definedName>
    <definedName name="I2A13">'Inserimento dati'!$H$45</definedName>
    <definedName name="I2C08">'Inserimento dati'!$B$45</definedName>
    <definedName name="I2C09">'Inserimento dati'!$C$45</definedName>
    <definedName name="I2C10">'Inserimento dati'!$D$45</definedName>
    <definedName name="I2C11">'Inserimento dati'!$E$45</definedName>
    <definedName name="I2C12">'Inserimento dati'!$F$45</definedName>
    <definedName name="I2C13">'Inserimento dati'!$I$45</definedName>
    <definedName name="I2P13">'Inserimento dati'!$G$45</definedName>
    <definedName name="I2P14">'Inserimento dati'!$J$45</definedName>
    <definedName name="I2P15">'Inserimento dati'!$K$45</definedName>
    <definedName name="I2P16">'Inserimento dati'!$L$45</definedName>
    <definedName name="I3A13">'Inserimento dati'!$H$46</definedName>
    <definedName name="I3C08">'Inserimento dati'!$B$46</definedName>
    <definedName name="I3C09">'Inserimento dati'!$C$46</definedName>
    <definedName name="I3C10">'Inserimento dati'!$D$46</definedName>
    <definedName name="I3C11">'Inserimento dati'!$E$46</definedName>
    <definedName name="I3C12">'Inserimento dati'!$F$46</definedName>
    <definedName name="I3C13">'Inserimento dati'!$I$46</definedName>
    <definedName name="I3P13">'Inserimento dati'!$G$46</definedName>
    <definedName name="I3P14">'Inserimento dati'!$J$46</definedName>
    <definedName name="I3P15">'Inserimento dati'!$K$46</definedName>
    <definedName name="I3P16">'Inserimento dati'!$L$46</definedName>
    <definedName name="I3PA13">'Inserimento dati'!$H$60</definedName>
    <definedName name="I3PC08">'Inserimento dati'!$B$60</definedName>
    <definedName name="I3PC09">'Inserimento dati'!$C$60</definedName>
    <definedName name="I3PC10">'Inserimento dati'!$D$60</definedName>
    <definedName name="I3PC11">'Inserimento dati'!$E$60</definedName>
    <definedName name="I3PC12">'Inserimento dati'!$F$60</definedName>
    <definedName name="I3PC13">'Inserimento dati'!$I$60</definedName>
    <definedName name="I3PP13">'Inserimento dati'!$G$60</definedName>
    <definedName name="I3PP14">'Inserimento dati'!$J$60</definedName>
    <definedName name="I4A13">'Inserimento dati'!$H$47</definedName>
    <definedName name="I4C08">'Inserimento dati'!$B$47</definedName>
    <definedName name="I4C09">'Inserimento dati'!$C$47</definedName>
    <definedName name="I4C10">'Inserimento dati'!$D$47</definedName>
    <definedName name="I4C11">'Inserimento dati'!$E$47</definedName>
    <definedName name="I4C12">'Inserimento dati'!$F$47</definedName>
    <definedName name="I4C13">'Inserimento dati'!$I$47</definedName>
    <definedName name="I4P13">'Inserimento dati'!$G$47</definedName>
    <definedName name="I4P14">'Inserimento dati'!$J$47</definedName>
    <definedName name="I4P15">'Inserimento dati'!$K$47</definedName>
    <definedName name="I4P16">'Inserimento dati'!$L$47</definedName>
    <definedName name="I5A13">'Inserimento dati'!$H$48</definedName>
    <definedName name="I5C08">'Inserimento dati'!$B$48</definedName>
    <definedName name="I5C09">'Inserimento dati'!$C$48</definedName>
    <definedName name="I5C10">'Inserimento dati'!$D$48</definedName>
    <definedName name="I5C11">'Inserimento dati'!$E$48</definedName>
    <definedName name="I5C12">'Inserimento dati'!$F$48</definedName>
    <definedName name="I5C13">'Inserimento dati'!$I$48</definedName>
    <definedName name="I5P13">'Inserimento dati'!$G$48</definedName>
    <definedName name="I5P14">'Inserimento dati'!$J$48</definedName>
    <definedName name="I5P15">'Inserimento dati'!$K$48</definedName>
    <definedName name="I5P16">'Inserimento dati'!$L$48</definedName>
    <definedName name="I6A13">'Inserimento dati'!$H$49</definedName>
    <definedName name="I6C08">'Inserimento dati'!$B$49</definedName>
    <definedName name="I6C09">'Inserimento dati'!$C$49</definedName>
    <definedName name="I6C10">'Inserimento dati'!$D$49</definedName>
    <definedName name="I6C11">'Inserimento dati'!$E$49</definedName>
    <definedName name="I6C12">'Inserimento dati'!$F$49</definedName>
    <definedName name="I6C13">'Inserimento dati'!$I$49</definedName>
    <definedName name="I6P13">'Inserimento dati'!$G$49</definedName>
    <definedName name="I6P14">'Inserimento dati'!$J$49</definedName>
    <definedName name="I6P15">'Inserimento dati'!$K$49</definedName>
    <definedName name="I6P16">'Inserimento dati'!$L$49</definedName>
    <definedName name="I7A13">'Inserimento dati'!$H$50</definedName>
    <definedName name="I7C08">'Inserimento dati'!$B$50</definedName>
    <definedName name="I7C09">'Inserimento dati'!$C$50</definedName>
    <definedName name="I7C10">'Inserimento dati'!$D$50</definedName>
    <definedName name="I7C11">'Inserimento dati'!$E$50</definedName>
    <definedName name="I7C12">'Inserimento dati'!$F$50</definedName>
    <definedName name="I7C13">'Inserimento dati'!$I$50</definedName>
    <definedName name="I7P13">'Inserimento dati'!$G$50</definedName>
    <definedName name="I7P14">'Inserimento dati'!$J$50</definedName>
    <definedName name="I7P15">'Inserimento dati'!$K$50</definedName>
    <definedName name="I7P16">'Inserimento dati'!$L$50</definedName>
    <definedName name="I8A13">'Inserimento dati'!$H$51</definedName>
    <definedName name="I8C08">'Inserimento dati'!$B$51</definedName>
    <definedName name="I8C09">'Inserimento dati'!$C$51</definedName>
    <definedName name="I8C10">'Inserimento dati'!$D$51</definedName>
    <definedName name="I8C11">'Inserimento dati'!$E$51</definedName>
    <definedName name="I8C12">'Inserimento dati'!$F$51</definedName>
    <definedName name="I8C13">'Inserimento dati'!$I$51</definedName>
    <definedName name="I8P13">'Inserimento dati'!$G$51</definedName>
    <definedName name="I8P14">'Inserimento dati'!$J$51</definedName>
    <definedName name="I8P15">'Inserimento dati'!$K$51</definedName>
    <definedName name="I8P16">'Inserimento dati'!$L$51</definedName>
    <definedName name="I9A13">'Inserimento dati'!$H$52</definedName>
    <definedName name="I9C08">'Inserimento dati'!$B$52</definedName>
    <definedName name="I9C09">'Inserimento dati'!$C$52</definedName>
    <definedName name="I9C10">'Inserimento dati'!$D$52</definedName>
    <definedName name="I9C11">'Inserimento dati'!$E$52</definedName>
    <definedName name="I9C12">'Inserimento dati'!$F$52</definedName>
    <definedName name="I9C13">'Inserimento dati'!$I$52</definedName>
    <definedName name="I9P13">'Inserimento dati'!$G$52</definedName>
    <definedName name="I9P14">'Inserimento dati'!$J$52</definedName>
    <definedName name="I9P15">'Inserimento dati'!$K$52</definedName>
    <definedName name="I9P16">'Inserimento dati'!$L$52</definedName>
    <definedName name="incidenza_interessi">'Indebitamento'!$A$31</definedName>
    <definedName name="INCLUSE">'Componenti spesa personale'!$A$1</definedName>
    <definedName name="INTEG08">'Inserimento dati'!$B$68</definedName>
    <definedName name="INTEG09">'Inserimento dati'!$C$68</definedName>
    <definedName name="INTEG10">'Inserimento dati'!$D$68</definedName>
    <definedName name="INTEG11">'Inserimento dati'!$E$68</definedName>
    <definedName name="INTEG12">'Inserimento dati'!$F$68</definedName>
    <definedName name="INTEG13">'Inserimento dati'!$I$68</definedName>
    <definedName name="INTEGA13">'Inserimento dati'!$H$68</definedName>
    <definedName name="INTEGP13">'Inserimento dati'!$G$68</definedName>
    <definedName name="INTEGP14">'Inserimento dati'!$J$68</definedName>
    <definedName name="integrazioni_conciliazione">'PROSPETTO DI CONCILIAZIONE'!$G$3</definedName>
    <definedName name="Interventi">'spese x intervento'!#REF!</definedName>
    <definedName name="Investimenti_con_indebitamento">'Spese in conto capitale'!$A$8</definedName>
    <definedName name="Investimenti_senza_esborsi_finanziari">'Spese in conto capitale'!$A$24</definedName>
    <definedName name="IRAPA13">'Inserimento dati'!$H$61</definedName>
    <definedName name="IRAPC08">'Inserimento dati'!$B$61</definedName>
    <definedName name="IRAPC09">'Inserimento dati'!$C$61</definedName>
    <definedName name="IRAPC10">'Inserimento dati'!$D$61</definedName>
    <definedName name="IRAPC11">'Inserimento dati'!$E$61</definedName>
    <definedName name="IRAPC12">'Inserimento dati'!$F$61</definedName>
    <definedName name="IRAPC13">'Inserimento dati'!$I$61</definedName>
    <definedName name="IRAPP13">'Inserimento dati'!$G$61</definedName>
    <definedName name="IRAPP14">'Inserimento dati'!$J$61</definedName>
    <definedName name="iscrizione_partecipazioni">'Valutazione partecipate'!$A$1</definedName>
    <definedName name="Leasing">'leasing'!$A$1</definedName>
    <definedName name="Leasing_esistenti">'leasing'!$A$12</definedName>
    <definedName name="Locazioni_residui">'proventi beni ente'!$A$1</definedName>
    <definedName name="MAGRA08">'Inserimento dati'!$B$25</definedName>
    <definedName name="MAGRA09">'Inserimento dati'!$C$25</definedName>
    <definedName name="MAGRA10">'Inserimento dati'!$D$25</definedName>
    <definedName name="MAGRA11">'Inserimento dati'!$E$25</definedName>
    <definedName name="MAGRA12">'Inserimento dati'!$F$25</definedName>
    <definedName name="MAGRA13">'Inserimento dati'!$I$25</definedName>
    <definedName name="MINRA08">'Inserimento dati'!$B$26</definedName>
    <definedName name="MINRA09">'Inserimento dati'!$C$26</definedName>
    <definedName name="MINRA10">'Inserimento dati'!$D$26</definedName>
    <definedName name="MINRA11">'Inserimento dati'!$E$26</definedName>
    <definedName name="MINRA12">'Inserimento dati'!$F$26</definedName>
    <definedName name="MINRA13">'Inserimento dati'!$I$26</definedName>
    <definedName name="MINRP08">'Inserimento dati'!$B$27</definedName>
    <definedName name="MINRP09">'Inserimento dati'!$C$27</definedName>
    <definedName name="MINRP10">'Inserimento dati'!$D$27</definedName>
    <definedName name="MINRP11">'Inserimento dati'!$E$27</definedName>
    <definedName name="MINRP12">'Inserimento dati'!$F$27</definedName>
    <definedName name="MINRP13">'Inserimento dati'!$I$27</definedName>
    <definedName name="movimento_residui_recupero_evasione">'recupero evasione'!$A$11</definedName>
    <definedName name="MU08">'Inserimento dati'!$B$31</definedName>
    <definedName name="MU09">'Inserimento dati'!$C$31</definedName>
    <definedName name="MU10">'Inserimento dati'!$D$31</definedName>
    <definedName name="MU11">'Inserimento dati'!$E$31</definedName>
    <definedName name="MU12">'Inserimento dati'!$F$31</definedName>
    <definedName name="MU13">'Inserimento dati'!$I$31</definedName>
    <definedName name="MUP14">'Inserimento dati'!$J$31</definedName>
    <definedName name="MUP15">'Inserimento dati'!$K$31</definedName>
    <definedName name="MUP16">'Inserimento dati'!$L$31</definedName>
    <definedName name="non_approvato_bilancio_2012">'ORGANISMI PARTECIPATI'!$F$35</definedName>
    <definedName name="OB08">'Inserimento dati'!$B$32</definedName>
    <definedName name="OB09">'Inserimento dati'!$C$32</definedName>
    <definedName name="OB10">'Inserimento dati'!$D$32</definedName>
    <definedName name="OB11">'Inserimento dati'!$E$32</definedName>
    <definedName name="OB12">'Inserimento dati'!$F$32</definedName>
    <definedName name="OB13">'Inserimento dati'!$I$32</definedName>
    <definedName name="obiettivi_conseguibili">'patto stabilità prev'!$A$32</definedName>
    <definedName name="obiettivo_pluriennale">'patto stabilità prev'!$F$9</definedName>
    <definedName name="OBP14">'Inserimento dati'!$J$32</definedName>
    <definedName name="OBP15">'Inserimento dati'!$K$32</definedName>
    <definedName name="OBP16">'Inserimento dati'!$L$32</definedName>
    <definedName name="onere_esternalizzati">'ORGANISMI PARTECIPATI'!$A$5</definedName>
    <definedName name="Oneri_straord">'proventi e oneri extra'!$A$21</definedName>
    <definedName name="OneriUrb">'TARSU + Oneri Urb'!$G$1</definedName>
    <definedName name="OneriUrb_corr">'TARSU + Oneri Urb'!$G$6</definedName>
    <definedName name="OneriUrb_residui">'TARSU + Oneri Urb'!$G$16</definedName>
    <definedName name="param_spesa_corrente">'patto stabilità prev'!$A$1</definedName>
    <definedName name="PC08">'Inserimento dati'!$B$36</definedName>
    <definedName name="PC09">'Inserimento dati'!$C$36</definedName>
    <definedName name="PC10">'Inserimento dati'!$D$36</definedName>
    <definedName name="PC11">'Inserimento dati'!$E$36</definedName>
    <definedName name="PC12">'Inserimento dati'!$F$36</definedName>
    <definedName name="PC13">'Inserimento dati'!$I$36</definedName>
    <definedName name="PCP14">'Inserimento dati'!$J$36</definedName>
    <definedName name="PCP15">'Inserimento dati'!$K$36</definedName>
    <definedName name="PCP16">'Inserimento dati'!$L$36</definedName>
    <definedName name="PCT108">'Inserimento dati'!$B$37</definedName>
    <definedName name="PCT109">'Inserimento dati'!$C$37</definedName>
    <definedName name="PCT110">'Inserimento dati'!$D$37</definedName>
    <definedName name="PCT111">'Inserimento dati'!$E$37</definedName>
    <definedName name="PCT112">'Inserimento dati'!$F$37</definedName>
    <definedName name="PCT113">'Inserimento dati'!$I$37</definedName>
    <definedName name="PCT1P14">'Inserimento dati'!$J$37</definedName>
    <definedName name="PCT1P15">'Inserimento dati'!$K$37</definedName>
    <definedName name="PCT1P16">'Inserimento dati'!$L$37</definedName>
    <definedName name="PL08">'Inserimento dati'!$B$38</definedName>
    <definedName name="PL09">'Inserimento dati'!$C$38</definedName>
    <definedName name="PL10">'Inserimento dati'!$D$38</definedName>
    <definedName name="PL11">'Inserimento dati'!$E$38</definedName>
    <definedName name="PL12">'Inserimento dati'!$F$38</definedName>
    <definedName name="PL13">'Inserimento dati'!$I$38</definedName>
    <definedName name="PLP14">'Inserimento dati'!$J$38</definedName>
    <definedName name="PLP15">'Inserimento dati'!$K$38</definedName>
    <definedName name="PLP16">'Inserimento dati'!$L$38</definedName>
    <definedName name="plur_entrate">'pluriennale gen'!$A$3</definedName>
    <definedName name="plur_interventi">'pluriennale spesa'!$A$3</definedName>
    <definedName name="plur_spese">'pluriennale gen'!$A$15</definedName>
    <definedName name="POP08">'Inserimento dati'!$B$71</definedName>
    <definedName name="POP09">'Inserimento dati'!$C$71</definedName>
    <definedName name="POP10">'Inserimento dati'!$D$71</definedName>
    <definedName name="POP11">'Inserimento dati'!$E$71</definedName>
    <definedName name="POP12">'Inserimento dati'!$F$71</definedName>
    <definedName name="POP13">'Inserimento dati'!$I$71</definedName>
    <definedName name="proventi_oneri_partecipate">'Organismi controllati'!$G$9</definedName>
    <definedName name="Proventi_straord">'proventi e oneri extra'!$A$4</definedName>
    <definedName name="Q_gen_riass">'Quadro gen riass'!$A$2</definedName>
    <definedName name="quote_ammortamento">'CONTO ECONOMICO'!$I$1</definedName>
    <definedName name="Residui_ante_2009">'Residui'!$A$51</definedName>
    <definedName name="rettifiche_entrate_e_spese">'PROSPETTO DI CONCILIAZIONE'!$A$3</definedName>
    <definedName name="riduzioni_spesa">'Riduzioni spesa'!$A$1</definedName>
    <definedName name="Riscontro_risultati_della_gestione">'Conciliazione ris'!$A$2</definedName>
    <definedName name="risultato_della_gestione_di_competenza">'Ris Gest comp'!$A$1</definedName>
    <definedName name="risultato_di_amministrazione">'Risultato Amministrazione'!$A$1</definedName>
    <definedName name="Risultato_residui">'Residui'!$A$26</definedName>
    <definedName name="RP08">'Inserimento dati'!$B$34</definedName>
    <definedName name="RP09">'Inserimento dati'!$C$34</definedName>
    <definedName name="RP10">'Inserimento dati'!$D$34</definedName>
    <definedName name="RP11">'Inserimento dati'!$E$34</definedName>
    <definedName name="RP12">'Inserimento dati'!$F$34</definedName>
    <definedName name="RP13">'Inserimento dati'!$I$34</definedName>
    <definedName name="RPP14">'Inserimento dati'!$J$34</definedName>
    <definedName name="RPP15">'Inserimento dati'!$K$34</definedName>
    <definedName name="RPP16">'Inserimento dati'!$L$34</definedName>
    <definedName name="Saldo_cassa">'Saldo cassa'!$F$6</definedName>
    <definedName name="saldo_con_neutralizzazione">'patto stabilità prev'!$A$24</definedName>
    <definedName name="saldo_netto">'Quadro gen riass'!$H$19</definedName>
    <definedName name="saldo_obiettivo_comuni">'patto stabilità prev'!$A$9</definedName>
    <definedName name="Sanzioni_CdS">'codice della strada'!$A$1</definedName>
    <definedName name="Servizi_a_domanda_individuale">'servizi prev'!$A$2</definedName>
    <definedName name="Servizi_DI">'Servizi cons'!$A$1</definedName>
    <definedName name="Servizi_Ind">'Servizi cons'!$A$20</definedName>
    <definedName name="SGR08">'Inserimento dati'!$B$28</definedName>
    <definedName name="SGR09">'Inserimento dati'!$C$28</definedName>
    <definedName name="SGR10">'Inserimento dati'!$D$28</definedName>
    <definedName name="SGR11">'Inserimento dati'!$E$28</definedName>
    <definedName name="SGR12">'Inserimento dati'!$F$28</definedName>
    <definedName name="SGR13">'Inserimento dati'!$I$28</definedName>
    <definedName name="situazione_di_cassa">'Saldo cassa'!$F$32</definedName>
    <definedName name="società_richiedono_interventi">'ORGANISMI PARTECIPATI'!$F$1</definedName>
    <definedName name="spesa_media_patto">'patto stabilità prev'!$C$6</definedName>
    <definedName name="spese_correnti_per_intervento">'spese x intervento'!$A$3</definedName>
    <definedName name="Spese_in_conto_capitale">'Spese in conto capitale'!$A$1</definedName>
    <definedName name="Spese_per_il_personale">'Spese per il personale'!$A$1</definedName>
    <definedName name="SSL08">'Inserimento dati'!$B$65</definedName>
    <definedName name="SSL09">'Inserimento dati'!$C$65</definedName>
    <definedName name="SSL10">'Inserimento dati'!$D$65</definedName>
    <definedName name="SSL11">'Inserimento dati'!$E$65</definedName>
    <definedName name="SSL12">'Inserimento dati'!$F$65</definedName>
    <definedName name="SSL13">'Inserimento dati'!$I$65</definedName>
    <definedName name="SSLA13">'Inserimento dati'!$H$65</definedName>
    <definedName name="SSLP13">'Inserimento dati'!$G$65</definedName>
    <definedName name="SSLP14">'Inserimento dati'!$J$65</definedName>
    <definedName name="SSLP15">'Inserimento dati'!$K$65</definedName>
    <definedName name="SSLP16">'Inserimento dati'!$L$65</definedName>
    <definedName name="ST1A13">'Inserimento dati'!$H$13</definedName>
    <definedName name="ST1C06">'Inserimento dati'!$B$73</definedName>
    <definedName name="ST1C07">'Inserimento dati'!$B$74</definedName>
    <definedName name="ST1C08">'Inserimento dati'!$B$13</definedName>
    <definedName name="ST1C09">'Inserimento dati'!$C$13</definedName>
    <definedName name="ST1C10">'Inserimento dati'!$D$13</definedName>
    <definedName name="ST1C11">'Inserimento dati'!$E$13</definedName>
    <definedName name="ST1C12">'Inserimento dati'!$F$13</definedName>
    <definedName name="ST1C13">'Inserimento dati'!$I$13</definedName>
    <definedName name="ST1P13">'Inserimento dati'!$G$13</definedName>
    <definedName name="ST1P14">'Inserimento dati'!$J$13</definedName>
    <definedName name="ST1P15">'Inserimento dati'!$K$13</definedName>
    <definedName name="ST1P16">'Inserimento dati'!$L$13</definedName>
    <definedName name="ST2A13">'Inserimento dati'!$H$14</definedName>
    <definedName name="ST2C08">'Inserimento dati'!$B$14</definedName>
    <definedName name="ST2C09">'Inserimento dati'!$C$14</definedName>
    <definedName name="ST2C10">'Inserimento dati'!$D$14</definedName>
    <definedName name="ST2C11">'Inserimento dati'!$E$14</definedName>
    <definedName name="ST2C12">'Inserimento dati'!$F$14</definedName>
    <definedName name="ST2C13">'Inserimento dati'!$I$14</definedName>
    <definedName name="ST2P13">'Inserimento dati'!$G$14</definedName>
    <definedName name="ST2P14">'Inserimento dati'!$J$14</definedName>
    <definedName name="ST2P15">'Inserimento dati'!$K$14</definedName>
    <definedName name="ST2P16">'Inserimento dati'!$L$14</definedName>
    <definedName name="ST3A13">'Inserimento dati'!$H$15</definedName>
    <definedName name="ST3C08">'Inserimento dati'!$B$15</definedName>
    <definedName name="ST3C09">'Inserimento dati'!$C$15</definedName>
    <definedName name="ST3C10">'Inserimento dati'!$D$15</definedName>
    <definedName name="ST3C11">'Inserimento dati'!$E$15</definedName>
    <definedName name="ST3C12">'Inserimento dati'!$F$15</definedName>
    <definedName name="ST3C13">'Inserimento dati'!$I$15</definedName>
    <definedName name="ST3P13">'Inserimento dati'!$G$15</definedName>
    <definedName name="ST3P14">'Inserimento dati'!$J$15</definedName>
    <definedName name="ST3P15">'Inserimento dati'!$K$15</definedName>
    <definedName name="ST3P16">'Inserimento dati'!$L$15</definedName>
    <definedName name="ST4A13">'Inserimento dati'!$H$16</definedName>
    <definedName name="ST4C08">'Inserimento dati'!$B$16</definedName>
    <definedName name="ST4C09">'Inserimento dati'!$C$16</definedName>
    <definedName name="ST4C10">'Inserimento dati'!$D$16</definedName>
    <definedName name="ST4C11">'Inserimento dati'!$E$16</definedName>
    <definedName name="ST4C12">'Inserimento dati'!$F$16</definedName>
    <definedName name="ST4C13">'Inserimento dati'!$I$16</definedName>
    <definedName name="ST4P13">'Inserimento dati'!$G$16</definedName>
    <definedName name="ST4P14">'Inserimento dati'!$J$16</definedName>
    <definedName name="ST4P15">'Inserimento dati'!$K$16</definedName>
    <definedName name="ST4P16">'Inserimento dati'!$L$16</definedName>
    <definedName name="STAB08">'Inserimento dati'!$B$66</definedName>
    <definedName name="STAB09">'Inserimento dati'!$C$66</definedName>
    <definedName name="STAB10">'Inserimento dati'!$D$66</definedName>
    <definedName name="STAB11">'Inserimento dati'!$E$66</definedName>
    <definedName name="STAB12">'Inserimento dati'!$F$66</definedName>
    <definedName name="STAB13">'Inserimento dati'!$I$66</definedName>
    <definedName name="STABA13">'Inserimento dati'!$H$66</definedName>
    <definedName name="STABP13">'Inserimento dati'!$G$66</definedName>
    <definedName name="STABP14">'Inserimento dati'!$J$66</definedName>
    <definedName name="suddivisione_gestione_corrente_e_conto_capitale">'Equilibrio corr e cap'!$A$1</definedName>
    <definedName name="TARSU">'TARSU + Oneri Urb'!$A$1</definedName>
    <definedName name="TARSU_residui">'TARSU + Oneri Urb'!$A$19</definedName>
    <definedName name="TE08">'Inserimento dati'!$B$11</definedName>
    <definedName name="TE09">'Inserimento dati'!$C$11</definedName>
    <definedName name="TE10">'Inserimento dati'!$D$11</definedName>
    <definedName name="TE11">'Inserimento dati'!$E$11</definedName>
    <definedName name="TE12">'Inserimento dati'!$F$11</definedName>
    <definedName name="TE13">'Inserimento dati'!$I$11</definedName>
    <definedName name="TEA13">'Inserimento dati'!$H$11</definedName>
    <definedName name="TEP13">'Inserimento dati'!$G$11</definedName>
    <definedName name="TEP14">'Inserimento dati'!$J$11</definedName>
    <definedName name="TEP15">'Inserimento dati'!$K$11</definedName>
    <definedName name="TEP16">'Inserimento dati'!$L$11</definedName>
    <definedName name="Terzi_cassa">'SERVIZI CONTO TERZI '!$A$18</definedName>
    <definedName name="Terzi_comp">'SERVIZI CONTO TERZI '!$A$3</definedName>
    <definedName name="TP08">'Inserimento dati'!$B$63</definedName>
    <definedName name="TP09">'Inserimento dati'!$C$63</definedName>
    <definedName name="TP10">'Inserimento dati'!$D$63</definedName>
    <definedName name="TP11">'Inserimento dati'!$E$63</definedName>
    <definedName name="TP12">'Inserimento dati'!$F$63</definedName>
    <definedName name="TP13">'Inserimento dati'!$I$63</definedName>
    <definedName name="TPA13">'Inserimento dati'!$H$63</definedName>
    <definedName name="TPP13">'Inserimento dati'!$G$63</definedName>
    <definedName name="TPP14">'Inserimento dati'!$J$63</definedName>
    <definedName name="Trasferimenti">'Trasferimenti + Extratrib.'!$A$1</definedName>
    <definedName name="Trend_storico_gestione_competenza">'Trend storico comp'!$A$1</definedName>
    <definedName name="TS08">'Inserimento dati'!$B$17</definedName>
    <definedName name="TS09">'Inserimento dati'!$C$17</definedName>
    <definedName name="TS10">'Inserimento dati'!$D$17</definedName>
    <definedName name="TS11">'Inserimento dati'!$E$17</definedName>
    <definedName name="TS12">'Inserimento dati'!$F$17</definedName>
    <definedName name="TS13">'Inserimento dati'!$I$17</definedName>
    <definedName name="TSA13">'Inserimento dati'!$H$17</definedName>
    <definedName name="TSP13">'Inserimento dati'!$G$17</definedName>
    <definedName name="TSP14">'Inserimento dati'!$J$17</definedName>
    <definedName name="TSP15">'Inserimento dati'!$K$17</definedName>
    <definedName name="TSP16">'Inserimento dati'!$L$17</definedName>
    <definedName name="VAR09">'Inserimento dati'!$C$67</definedName>
    <definedName name="VAR10">'Inserimento dati'!$D$67</definedName>
    <definedName name="VAR11">'Inserimento dati'!$E$67</definedName>
    <definedName name="VAR12">'Inserimento dati'!$F$67</definedName>
    <definedName name="VAR13">'Inserimento dati'!$I$67</definedName>
    <definedName name="VARA13">'Inserimento dati'!$H$67</definedName>
    <definedName name="variazioni_materiali">'Variaz Immob mat'!$A$1</definedName>
    <definedName name="VARP13">'Inserimento dati'!$G$67</definedName>
    <definedName name="VARP14">'Inserimento dati'!$J$67</definedName>
    <definedName name="Verifica_indebitamento">'Capacità indebitamento'!$A$4</definedName>
    <definedName name="Verifica_patto_di_stabilità">'patto stabilità consuntivo'!$A$1</definedName>
  </definedNames>
  <calcPr fullCalcOnLoad="1"/>
</workbook>
</file>

<file path=xl/sharedStrings.xml><?xml version="1.0" encoding="utf-8"?>
<sst xmlns="http://schemas.openxmlformats.org/spreadsheetml/2006/main" count="1933" uniqueCount="1118">
  <si>
    <t>Quadro generale riassuntivo</t>
  </si>
  <si>
    <t>Entrate</t>
  </si>
  <si>
    <t>Spese</t>
  </si>
  <si>
    <t>Spese correnti</t>
  </si>
  <si>
    <t>Spese in conto capitale</t>
  </si>
  <si>
    <t>Entrate extratributarie</t>
  </si>
  <si>
    <t xml:space="preserve">Totale </t>
  </si>
  <si>
    <t>-</t>
  </si>
  <si>
    <t>Entrate titolo I</t>
  </si>
  <si>
    <t>Entrate titolo II</t>
  </si>
  <si>
    <t>Entrate titolo III</t>
  </si>
  <si>
    <t>Per funzioni delegate dalla Regione</t>
  </si>
  <si>
    <t>Per fondi comunitari ed internazionali</t>
  </si>
  <si>
    <t>Per contributi in c/capitale dalla Regione</t>
  </si>
  <si>
    <t>Per proventi alienazione alloggi e.r.p.</t>
  </si>
  <si>
    <t>Per mutui</t>
  </si>
  <si>
    <t>Differenza</t>
  </si>
  <si>
    <t xml:space="preserve"> - avanzo del bilancio corrente</t>
  </si>
  <si>
    <t xml:space="preserve"> - alienazione di beni</t>
  </si>
  <si>
    <t xml:space="preserve"> - altre risorse</t>
  </si>
  <si>
    <t xml:space="preserve"> - contributi statali</t>
  </si>
  <si>
    <t xml:space="preserve"> - contributi regionali</t>
  </si>
  <si>
    <t xml:space="preserve"> - altri mezzi di terzi</t>
  </si>
  <si>
    <t>Importo</t>
  </si>
  <si>
    <t>intervento 01</t>
  </si>
  <si>
    <t>intervento 03</t>
  </si>
  <si>
    <t>irap</t>
  </si>
  <si>
    <t>importo</t>
  </si>
  <si>
    <t>A</t>
  </si>
  <si>
    <t>B</t>
  </si>
  <si>
    <t>C</t>
  </si>
  <si>
    <t>D</t>
  </si>
  <si>
    <t>E</t>
  </si>
  <si>
    <t>Altre imposte</t>
  </si>
  <si>
    <t>Diritti sulle pubbliche affissioni</t>
  </si>
  <si>
    <t>Totale entrate tributarie</t>
  </si>
  <si>
    <t xml:space="preserve"> - da tassa</t>
  </si>
  <si>
    <t xml:space="preserve"> - da addizionale</t>
  </si>
  <si>
    <t xml:space="preserve"> - da raccolta differenziata</t>
  </si>
  <si>
    <t xml:space="preserve"> - altri ricavi</t>
  </si>
  <si>
    <t>Costi</t>
  </si>
  <si>
    <t>Percentuale di copertura</t>
  </si>
  <si>
    <t>Servizi a domanda individuale</t>
  </si>
  <si>
    <t>Impianti sportivi</t>
  </si>
  <si>
    <t>Mense scolastiche</t>
  </si>
  <si>
    <t>Altri servizi</t>
  </si>
  <si>
    <t>Totale</t>
  </si>
  <si>
    <t xml:space="preserve">Servizi diversi </t>
  </si>
  <si>
    <t>Gas metano</t>
  </si>
  <si>
    <t>Centrale del latte</t>
  </si>
  <si>
    <t>Distribuzione energia elettrica</t>
  </si>
  <si>
    <t>Teleriscaldamento</t>
  </si>
  <si>
    <t>Trasporti pubblici</t>
  </si>
  <si>
    <t>Spesa per investimenti</t>
  </si>
  <si>
    <t>01 -</t>
  </si>
  <si>
    <t>Personale</t>
  </si>
  <si>
    <t>02 -</t>
  </si>
  <si>
    <t>03 -</t>
  </si>
  <si>
    <t>Prestazioni di servizi</t>
  </si>
  <si>
    <t>04 -</t>
  </si>
  <si>
    <t>Utilizzo di beni di terzi</t>
  </si>
  <si>
    <t>05 -</t>
  </si>
  <si>
    <t>Trasferimenti</t>
  </si>
  <si>
    <t>06 -</t>
  </si>
  <si>
    <t>07 -</t>
  </si>
  <si>
    <t>Imposte e tasse</t>
  </si>
  <si>
    <t>08 -</t>
  </si>
  <si>
    <t>Totale spese correnti</t>
  </si>
  <si>
    <t>Debiti di finanziamento</t>
  </si>
  <si>
    <t>Canone annuo</t>
  </si>
  <si>
    <t>Euro</t>
  </si>
  <si>
    <t>%</t>
  </si>
  <si>
    <t>Bene utilizzato</t>
  </si>
  <si>
    <t>Titolo I</t>
  </si>
  <si>
    <t>Titolo II</t>
  </si>
  <si>
    <t>Titolo III</t>
  </si>
  <si>
    <t>Titolo IV</t>
  </si>
  <si>
    <t>Titolo V</t>
  </si>
  <si>
    <t>Oneri straordinari della gestione corrente</t>
  </si>
  <si>
    <t>Utilizzo di strumenti di finanza derivata in essere</t>
  </si>
  <si>
    <t>Tit. I Spesa</t>
  </si>
  <si>
    <t>Tit. II Spesa</t>
  </si>
  <si>
    <t>Tit. III Spesa</t>
  </si>
  <si>
    <t>Tit. III Entrata</t>
  </si>
  <si>
    <t>Tit. IV Entrata</t>
  </si>
  <si>
    <t>Tit. V Entrata</t>
  </si>
  <si>
    <t>estinzione anticipata</t>
  </si>
  <si>
    <t>Inserimento dati</t>
  </si>
  <si>
    <t>Consuntivo 2011</t>
  </si>
  <si>
    <t>Consuntivo 2010</t>
  </si>
  <si>
    <t>Consuntivo 2009</t>
  </si>
  <si>
    <t>Consuntivo 2008</t>
  </si>
  <si>
    <t>Entrate titolo primo</t>
  </si>
  <si>
    <t>Entrate titolo secondo</t>
  </si>
  <si>
    <t>Entrate titolo terzo</t>
  </si>
  <si>
    <t>Entrate titolo quarto</t>
  </si>
  <si>
    <t>Entrate titolo quinto</t>
  </si>
  <si>
    <t>Entrate titolo sesto</t>
  </si>
  <si>
    <t>Previsione 2013</t>
  </si>
  <si>
    <t>Previsione 2014</t>
  </si>
  <si>
    <t>Entrate correnti</t>
  </si>
  <si>
    <t>Spese titolo primo</t>
  </si>
  <si>
    <t>Spese titolo secondo</t>
  </si>
  <si>
    <t>Spese titolo terzo</t>
  </si>
  <si>
    <t>Spese titolo quarto</t>
  </si>
  <si>
    <t>Totale entrate</t>
  </si>
  <si>
    <t>Totale spese</t>
  </si>
  <si>
    <t>Avanzo amministrazione</t>
  </si>
  <si>
    <t>Disavanzo amministrazione</t>
  </si>
  <si>
    <t>Quote di capitale</t>
  </si>
  <si>
    <t>mutui</t>
  </si>
  <si>
    <t>obbligazioni</t>
  </si>
  <si>
    <t>altri prestiti</t>
  </si>
  <si>
    <t>Permessi costruire al titolo primo</t>
  </si>
  <si>
    <t>intervento 10</t>
  </si>
  <si>
    <t>intervento 11</t>
  </si>
  <si>
    <t>controllo quadratura</t>
  </si>
  <si>
    <t>intervento 02</t>
  </si>
  <si>
    <t>intervento 04</t>
  </si>
  <si>
    <t>intervento 05</t>
  </si>
  <si>
    <t>intervento 06</t>
  </si>
  <si>
    <t>intervento 07</t>
  </si>
  <si>
    <t>intervento 08</t>
  </si>
  <si>
    <t>intervento 09</t>
  </si>
  <si>
    <t>Spesa di personale</t>
  </si>
  <si>
    <t>IRAP</t>
  </si>
  <si>
    <t>altre spese di personale incluse</t>
  </si>
  <si>
    <t>TOTALE SPESE PERSONALE</t>
  </si>
  <si>
    <t>Popolazione residente</t>
  </si>
  <si>
    <t>Contr. Integrativa - ris. Stabili</t>
  </si>
  <si>
    <t>Contr. Integrativa - ris. Variabili</t>
  </si>
  <si>
    <t>Totale contrattazione integrativa</t>
  </si>
  <si>
    <t>Numero dipendenti (rapporto ad anno)</t>
  </si>
  <si>
    <t>EQUILIBRIO DI PARTE CORRENTE</t>
  </si>
  <si>
    <t>EQUILIBRIO DI PARTE CAPITALE</t>
  </si>
  <si>
    <t>Entrate titolo IV</t>
  </si>
  <si>
    <t>Per contributi in c/capitale dalla Provincia</t>
  </si>
  <si>
    <t>Per entrata da escavazione e cave per recupero ambientale</t>
  </si>
  <si>
    <t xml:space="preserve">Per sanzioni amministrative pubblicità  </t>
  </si>
  <si>
    <t>Per imposta pubblicità sugli ascensori</t>
  </si>
  <si>
    <t>Per imposta di scopo</t>
  </si>
  <si>
    <t xml:space="preserve"> - prestiti obbligazionari</t>
  </si>
  <si>
    <t xml:space="preserve"> - contributi comunitari</t>
  </si>
  <si>
    <t xml:space="preserve"> - raccolta differenziata</t>
  </si>
  <si>
    <t xml:space="preserve"> - trasporto e smaltimento</t>
  </si>
  <si>
    <t xml:space="preserve"> - altri costi</t>
  </si>
  <si>
    <t>Anno</t>
  </si>
  <si>
    <t>di cui % (*)</t>
  </si>
  <si>
    <t>(*) % a manutenzione ordinaria del verde, delle strade e del patrimonio comunale</t>
  </si>
  <si>
    <t>Asilo nido</t>
  </si>
  <si>
    <t>Mattatoi pubblici</t>
  </si>
  <si>
    <t xml:space="preserve">Stabilimenti balneari </t>
  </si>
  <si>
    <t>Uso di locali adibiti a riunioni</t>
  </si>
  <si>
    <t>Tipo operazione &gt;</t>
  </si>
  <si>
    <t>Data stipula &gt;</t>
  </si>
  <si>
    <t>Flussi positivi</t>
  </si>
  <si>
    <t>Iscrizione entrata</t>
  </si>
  <si>
    <t>Destinazione spesa</t>
  </si>
  <si>
    <t>Flussi negativi</t>
  </si>
  <si>
    <t>Mark to market</t>
  </si>
  <si>
    <t>Avanzo vincolato f.do rischi swap</t>
  </si>
  <si>
    <t>ristrutturazione</t>
  </si>
  <si>
    <t>Costo</t>
  </si>
  <si>
    <t>Iscrizione spesa</t>
  </si>
  <si>
    <t>Ricavo</t>
  </si>
  <si>
    <t>Imputazione entrata</t>
  </si>
  <si>
    <t>Imputaz. entrata</t>
  </si>
  <si>
    <t>Destinaz. spesa</t>
  </si>
  <si>
    <t>Entrate titolo V **</t>
  </si>
  <si>
    <t>Avanzo x spesa corrente</t>
  </si>
  <si>
    <t>Plusvalenze alienazione</t>
  </si>
  <si>
    <t>Proventi CdS a investimenti</t>
  </si>
  <si>
    <t>Avanzo x spesa capitale</t>
  </si>
  <si>
    <t>Spesa corrente 2006</t>
  </si>
  <si>
    <t>Spesa corrente 2007</t>
  </si>
  <si>
    <t>Permessi costruire</t>
  </si>
  <si>
    <t>Proventi CdS</t>
  </si>
  <si>
    <t>Proventi CdS a spesa corrente</t>
  </si>
  <si>
    <t>In conto</t>
  </si>
  <si>
    <t xml:space="preserve">Totale                  </t>
  </si>
  <si>
    <t>RESIDUI</t>
  </si>
  <si>
    <t>COMPETENZA</t>
  </si>
  <si>
    <t>Riscossioni</t>
  </si>
  <si>
    <t>Pagamenti</t>
  </si>
  <si>
    <t>Pagamenti per azioni esecutive non regolarizzate al 31 dicembre</t>
  </si>
  <si>
    <t>Disponibilità</t>
  </si>
  <si>
    <t>Anticipazioni</t>
  </si>
  <si>
    <t>Accertamenti</t>
  </si>
  <si>
    <t>(+)</t>
  </si>
  <si>
    <t>Impegni</t>
  </si>
  <si>
    <t>(-)</t>
  </si>
  <si>
    <t>[A]</t>
  </si>
  <si>
    <t>Residui attivi</t>
  </si>
  <si>
    <t>Residui passivi</t>
  </si>
  <si>
    <t>[B]</t>
  </si>
  <si>
    <t xml:space="preserve">[A] - [B] </t>
  </si>
  <si>
    <t>totale</t>
  </si>
  <si>
    <t xml:space="preserve">Totale                </t>
  </si>
  <si>
    <t>RISCOSSIONI</t>
  </si>
  <si>
    <t>PAGAMENTI</t>
  </si>
  <si>
    <t>PAGAMENTI per azioni esecutive non regolarizzate al 31 dicembre</t>
  </si>
  <si>
    <t>RESIDUI ATTIVI</t>
  </si>
  <si>
    <t>RESIDUI PASSIVI</t>
  </si>
  <si>
    <t>Controllo</t>
  </si>
  <si>
    <t>Gestione di competenza</t>
  </si>
  <si>
    <t>SALDO GESTIONE COMPETENZA</t>
  </si>
  <si>
    <t>Gestione dei residui</t>
  </si>
  <si>
    <t>SALDO GESTIONE RESIDUI</t>
  </si>
  <si>
    <t>Riepilogo</t>
  </si>
  <si>
    <t>AVANZO ESERCIZI PRECEDENTI  APPLICATO</t>
  </si>
  <si>
    <t>AVANZO ESERCIZI PRECEDENTI NON APPLICATO</t>
  </si>
  <si>
    <t>Totale accertamenti di competenza (+)</t>
  </si>
  <si>
    <t>Totale impegni di competenza (-)</t>
  </si>
  <si>
    <t>Maggiori residui attivi riaccertati  (+)</t>
  </si>
  <si>
    <t>Minori residui passivi riaccertati  (+)</t>
  </si>
  <si>
    <t>Minori residui attivi riaccertati  (-)</t>
  </si>
  <si>
    <t>TOTALE</t>
  </si>
  <si>
    <t>Scostam.</t>
  </si>
  <si>
    <t>Entrate tributarie</t>
  </si>
  <si>
    <t>Entrate da trasf. c/capitale</t>
  </si>
  <si>
    <t>Entrate da prestiti</t>
  </si>
  <si>
    <t>Titolo VI</t>
  </si>
  <si>
    <t>Entrate da servizi per conto terzi</t>
  </si>
  <si>
    <t>Rimborso di prestiti</t>
  </si>
  <si>
    <t>Spese per servizi per conto terzi</t>
  </si>
  <si>
    <t>Rendiconto
2011</t>
  </si>
  <si>
    <t>Previsione
iniziale</t>
  </si>
  <si>
    <t>Avanzo amministrazione applicato</t>
  </si>
  <si>
    <t>Entrate da contributi e trasferimenti correnti</t>
  </si>
  <si>
    <t>Entrate da servizi per c/ terzi</t>
  </si>
  <si>
    <t>Totale Entrate</t>
  </si>
  <si>
    <t>Spese in c/capitale</t>
  </si>
  <si>
    <t>Spese per servizi per c/ terzi</t>
  </si>
  <si>
    <t>Totale Spese</t>
  </si>
  <si>
    <t>Avanzo (Disavanzo) di competenza   (A)</t>
  </si>
  <si>
    <t>Avanzo di amministrazione applicato   (B)</t>
  </si>
  <si>
    <t>Saldo  (A) +/-  (B)</t>
  </si>
  <si>
    <t xml:space="preserve">Entrate Tributarie </t>
  </si>
  <si>
    <t>Categoria I - Imposte</t>
  </si>
  <si>
    <t>Totale categoria I</t>
  </si>
  <si>
    <t>Categoria II - Tasse</t>
  </si>
  <si>
    <t>Totale categoria II</t>
  </si>
  <si>
    <t>Categoria III - Tributi speciali</t>
  </si>
  <si>
    <t>Altri tributi propri</t>
  </si>
  <si>
    <t xml:space="preserve">Totale categoria III </t>
  </si>
  <si>
    <t>Rendiconto 2011</t>
  </si>
  <si>
    <t>Recupero evasione altri tributi</t>
  </si>
  <si>
    <t>Residui eliminati</t>
  </si>
  <si>
    <t>Residui della competenza</t>
  </si>
  <si>
    <t>Residui totali</t>
  </si>
  <si>
    <t xml:space="preserve">Tassa per la raccolta dei rifiuti solidi urbani </t>
  </si>
  <si>
    <t>Contributi per permesso di costruire</t>
  </si>
  <si>
    <t>Ricavi:</t>
  </si>
  <si>
    <t>Totale ricavi</t>
  </si>
  <si>
    <t>Costi:</t>
  </si>
  <si>
    <t>Totale costi</t>
  </si>
  <si>
    <t xml:space="preserve"> - raccolta rifiuti solidi urbani e  assimilati</t>
  </si>
  <si>
    <t>Accertamento 2011</t>
  </si>
  <si>
    <t>% x spesa corr.</t>
  </si>
  <si>
    <t>Note: anno 2009 % per spesa corrente, max 75%</t>
  </si>
  <si>
    <t>Note: anni 2010 e 2011 % per spesa corrente, max 50% + 25% per manut. Patrimonio</t>
  </si>
  <si>
    <t>Totale entrate extratributarie</t>
  </si>
  <si>
    <t>Proventi diversi</t>
  </si>
  <si>
    <t>Utili netti delle aziende</t>
  </si>
  <si>
    <t>Interessi su anticip.ni e crediti</t>
  </si>
  <si>
    <t>Proventi dei beni dell'ente</t>
  </si>
  <si>
    <t>Servizi pubblici</t>
  </si>
  <si>
    <t>entrate extratributarie</t>
  </si>
  <si>
    <t>Contr. e trasf. correnti da altri enti del settore pubblico</t>
  </si>
  <si>
    <t>Contr. e trasf. da parte di org. Comunitari e internaz.li</t>
  </si>
  <si>
    <t>Contributi e trasferimenti della Regione per funz. Delegate</t>
  </si>
  <si>
    <t>Contributi e trasferimenti correnti della Regione</t>
  </si>
  <si>
    <t>Contributi e trasferimenti correnti dello Stato</t>
  </si>
  <si>
    <t>Trasferimenti dallo Stato e da altri Enti</t>
  </si>
  <si>
    <t>Proventi</t>
  </si>
  <si>
    <t>Saldo</t>
  </si>
  <si>
    <t xml:space="preserve"> %                                   di copertura realizzata</t>
  </si>
  <si>
    <t xml:space="preserve"> %                                   di copertura prevista</t>
  </si>
  <si>
    <t>Musei, pinacoteche, mostre</t>
  </si>
  <si>
    <t>Totali</t>
  </si>
  <si>
    <t>Servizi indispensabili</t>
  </si>
  <si>
    <t xml:space="preserve"> %                                  di copertura realizzata</t>
  </si>
  <si>
    <t xml:space="preserve"> %                      di copertura prevista</t>
  </si>
  <si>
    <t>Acquedotto</t>
  </si>
  <si>
    <t>Fognatura e depurazione</t>
  </si>
  <si>
    <t>Nettezza urbana</t>
  </si>
  <si>
    <t xml:space="preserve"> %                           di copertura     realizzata</t>
  </si>
  <si>
    <t xml:space="preserve"> %                                di copertura          prevista</t>
  </si>
  <si>
    <t>Conferimenti</t>
  </si>
  <si>
    <t>Sanzioni amministrative pecuniarie per violazione codice della strada</t>
  </si>
  <si>
    <t>La parte vincolata del (50%) risulta destinata come segue</t>
  </si>
  <si>
    <r>
      <t>Classificazione delle spese correnti per intervento</t>
    </r>
    <r>
      <rPr>
        <b/>
        <sz val="14"/>
        <rFont val="Arial"/>
        <family val="2"/>
      </rPr>
      <t xml:space="preserve"> </t>
    </r>
  </si>
  <si>
    <t>Interessi passivi e oneri finanziari diversi</t>
  </si>
  <si>
    <t>Spese per il personale</t>
  </si>
  <si>
    <t>spesa intervento 01</t>
  </si>
  <si>
    <t>spese incluse nell'int.03</t>
  </si>
  <si>
    <r>
      <t xml:space="preserve">Le componenti </t>
    </r>
    <r>
      <rPr>
        <b/>
        <u val="single"/>
        <sz val="10"/>
        <color indexed="8"/>
        <rFont val="Arial"/>
        <family val="2"/>
      </rPr>
      <t>considerate</t>
    </r>
    <r>
      <rPr>
        <b/>
        <sz val="10"/>
        <color indexed="8"/>
        <rFont val="Arial"/>
        <family val="2"/>
      </rPr>
      <t xml:space="preserve"> per la determinazione della spesa di cui sopra sono le seguenti</t>
    </r>
  </si>
  <si>
    <r>
      <t xml:space="preserve">Le componenti </t>
    </r>
    <r>
      <rPr>
        <b/>
        <u val="single"/>
        <sz val="10"/>
        <color indexed="8"/>
        <rFont val="Arial"/>
        <family val="2"/>
      </rPr>
      <t>escluse</t>
    </r>
    <r>
      <rPr>
        <b/>
        <sz val="10"/>
        <color indexed="8"/>
        <rFont val="Arial"/>
        <family val="2"/>
      </rPr>
      <t xml:space="preserve"> dalla determinazione della spesa sono le seguenti</t>
    </r>
  </si>
  <si>
    <t>Negli ultimi tre esercizi sono intervenute le seguenti variazioni del personale in servizio</t>
  </si>
  <si>
    <t>Dipendenti (rapportati ad anno)</t>
  </si>
  <si>
    <t>spesa per personale</t>
  </si>
  <si>
    <t>spesa corrente</t>
  </si>
  <si>
    <t>Costo medio per dipendente</t>
  </si>
  <si>
    <t>incidenza spesa personale su spesa corrente</t>
  </si>
  <si>
    <t>Contrattazione integrativa</t>
  </si>
  <si>
    <t>Risorse variabili</t>
  </si>
  <si>
    <t>Rif. Intervento 01 + 07 (Irap)</t>
  </si>
  <si>
    <t>Finanziamento delle spese in conto capitale</t>
  </si>
  <si>
    <t>Previsioni</t>
  </si>
  <si>
    <t>Somme</t>
  </si>
  <si>
    <t>Scostamento fra previsioni definitive e somme impegnate</t>
  </si>
  <si>
    <t>Mezzi propri:</t>
  </si>
  <si>
    <t>Iniziali</t>
  </si>
  <si>
    <t>Definitive</t>
  </si>
  <si>
    <t>impegnate</t>
  </si>
  <si>
    <t xml:space="preserve"> - avanzo d'amministrazione </t>
  </si>
  <si>
    <t>in cifre</t>
  </si>
  <si>
    <t>in %</t>
  </si>
  <si>
    <t>Mezzi di terzi:</t>
  </si>
  <si>
    <t xml:space="preserve"> - mutui </t>
  </si>
  <si>
    <t xml:space="preserve"> - contributi di altri </t>
  </si>
  <si>
    <t>Totale risorse</t>
  </si>
  <si>
    <t>Impieghi al titolo II della spesa</t>
  </si>
  <si>
    <t>ENTRATA</t>
  </si>
  <si>
    <t>SPESA</t>
  </si>
  <si>
    <t>Ritenute erariali</t>
  </si>
  <si>
    <t>Altre ritenute al personale c/terzi</t>
  </si>
  <si>
    <t>Depositi cauzionali</t>
  </si>
  <si>
    <t>Altre per servizi conto terzi</t>
  </si>
  <si>
    <t>Fondi per il Servizio economato</t>
  </si>
  <si>
    <t>Depositi per spese contrattuali</t>
  </si>
  <si>
    <t>L’indebitamento dell’ente ha avuto la seguente evoluzione</t>
  </si>
  <si>
    <t>limite di indebitamento disposto dall’art. 204 del T.U.E.L.</t>
  </si>
  <si>
    <t>Totale fine anno</t>
  </si>
  <si>
    <t xml:space="preserve">oneri finanziari per ammortamento prestiti ed il rimborso degli stessi in conto capitale </t>
  </si>
  <si>
    <t>Oneri finanziari</t>
  </si>
  <si>
    <t>Quota capitale</t>
  </si>
  <si>
    <t>Residuo debito (+)</t>
  </si>
  <si>
    <t>Nuovi prestiti (+)</t>
  </si>
  <si>
    <t>Prestiti rimborsati (-)</t>
  </si>
  <si>
    <t>Estinzioni anticipate (-)</t>
  </si>
  <si>
    <t>acquisto, costruzione, ristrutturazione e manutenzione straordinaria di immobili residenziali e non residenziali;</t>
  </si>
  <si>
    <t>costruzione, demolizione, ristrutturazione, recupero e manutenzione straordinaria di opere e impianti;</t>
  </si>
  <si>
    <t>acquisto di impianti, macchinari, attrezzature, mezzi di trasporto e altri beni mobili ad uso pluriennale;</t>
  </si>
  <si>
    <t>oneri per beni immateriali ad uso pluriennale;</t>
  </si>
  <si>
    <t>acquisizione aree, espropri e servitù onerose;</t>
  </si>
  <si>
    <t>partecipazioni azionarie e conferimenti di capitale;</t>
  </si>
  <si>
    <t>trasferimenti in c/capitale destinati ad investimenti a cura di altro ente appartenente alla p.a.;</t>
  </si>
  <si>
    <t>trasferimenti in c/capitale in favore di soggetti concessionari di lavori pubblici, proprietari e/o gestori di reti e impianti o di soggetti che erogano servizi pubblici, le cui concessioni o contratti di servizio prevedono la retrocessione degli investimenti agli enti committenti alla data di scadenza;</t>
  </si>
  <si>
    <t>interventi aventi finalità pubblica volti al recupero e alla valorizzazione del territorio;</t>
  </si>
  <si>
    <t>debiti fuori bilancio di parte corrente maturati entro il 7/11/2001;</t>
  </si>
  <si>
    <t xml:space="preserve">mutui;                                                                                                                                                                                                                </t>
  </si>
  <si>
    <t>prestiti obbligazionari;</t>
  </si>
  <si>
    <t>aperture di credito;</t>
  </si>
  <si>
    <t>cartolarizzazioni di flussi futuri di entrata;</t>
  </si>
  <si>
    <t>cartolarizzazioni con corrispettivo iniziale inferiore all’85% del prezzo di mercato dell’attività;</t>
  </si>
  <si>
    <t>cartolarizzazioni garantite da amministrazioni pubbliche;</t>
  </si>
  <si>
    <t>cartolarizzazioni e cessioni crediti vantati verso altre pubbliche amministrazioni;</t>
  </si>
  <si>
    <t>operazioni di cessione o cartolarizzazione dei crediti vantati dai fornitori di  beni e servizi per i cui pagamenti l’ente assume anche indirettamente, nuove obbligazioni, anche mediante la ristrutturazione dei piani di ammortamento;</t>
  </si>
  <si>
    <t>up front da contratti derivati;</t>
  </si>
  <si>
    <t>altro (specificare).</t>
  </si>
  <si>
    <t>Andamento della gestione dei residui</t>
  </si>
  <si>
    <t>Gestione</t>
  </si>
  <si>
    <t>Residui
iniziali</t>
  </si>
  <si>
    <t>Residui
riscossi</t>
  </si>
  <si>
    <t>Residui
stornati</t>
  </si>
  <si>
    <t>Residui da
riportare</t>
  </si>
  <si>
    <t>Percentuale
di riporto</t>
  </si>
  <si>
    <t>Residui di
competenza</t>
  </si>
  <si>
    <t>Totale Residui
Accertati</t>
  </si>
  <si>
    <t>Servizi c/terzi Tit. VI</t>
  </si>
  <si>
    <t>Residui
pagati</t>
  </si>
  <si>
    <t>Totale Residui
Impegnati</t>
  </si>
  <si>
    <t>Corrente Tit. I</t>
  </si>
  <si>
    <t>C/capitale Tit. II</t>
  </si>
  <si>
    <t>Rimb. prestiti Tit. III</t>
  </si>
  <si>
    <t>Servizi c/terzi Tit. IV</t>
  </si>
  <si>
    <t>Risultato complessivo della gestione residui</t>
  </si>
  <si>
    <t>Maggiori residui attivi</t>
  </si>
  <si>
    <t>Minori residui attivi</t>
  </si>
  <si>
    <t>Minori residui passivi</t>
  </si>
  <si>
    <t>Sintesi delle variazioni per gestione</t>
  </si>
  <si>
    <t>Gestione corrente</t>
  </si>
  <si>
    <t>Gestione in conto capitale</t>
  </si>
  <si>
    <t>Gestione servizi c/terzi</t>
  </si>
  <si>
    <t>Gestione vincolata</t>
  </si>
  <si>
    <t>VERIFICA SALDO GESTIONE RESIDUI</t>
  </si>
  <si>
    <t>Analisi anzianità dei residui</t>
  </si>
  <si>
    <t>Esercizi precedenti</t>
  </si>
  <si>
    <t>ATTIVI</t>
  </si>
  <si>
    <t>di cui Tarsu</t>
  </si>
  <si>
    <t>di cui Tia</t>
  </si>
  <si>
    <t>PASSIVI</t>
  </si>
  <si>
    <t>Titolo IIII</t>
  </si>
  <si>
    <t>di cui sanzioni CdS</t>
  </si>
  <si>
    <t>Analisi e valutazione dei debiti fuori bilancio</t>
  </si>
  <si>
    <t>Articolo 194 T.U.E.L:</t>
  </si>
  <si>
    <t xml:space="preserve">   - lettera a) - sentenze esecutive</t>
  </si>
  <si>
    <t xml:space="preserve">   - lettera b)  - copertura disavanzi</t>
  </si>
  <si>
    <t xml:space="preserve">   - lettera c)  - ricapitalizzazioni</t>
  </si>
  <si>
    <t xml:space="preserve">   - lettera d)  - procedure espropriative/occupazione d'urgenza</t>
  </si>
  <si>
    <t xml:space="preserve">   - lettera e) - acquisizione beni e servizi senza impegno di spesa</t>
  </si>
  <si>
    <t>PROSPETTO DI CONCILIAZIONE</t>
  </si>
  <si>
    <t>integrazioni rilevate nel prospetto di conciliazione</t>
  </si>
  <si>
    <t>Entrate correnti:</t>
  </si>
  <si>
    <t>Integrazioni positive:</t>
  </si>
  <si>
    <t xml:space="preserve"> - rettifiche per Iva</t>
  </si>
  <si>
    <t xml:space="preserve"> - incremento immobilizzazioni per lavori interni</t>
  </si>
  <si>
    <t xml:space="preserve"> - risconti passivi iniziali</t>
  </si>
  <si>
    <t xml:space="preserve">   +</t>
  </si>
  <si>
    <t xml:space="preserve"> - proventi per permesso di costruire rilevati al titolo IV e dest. al titolo I</t>
  </si>
  <si>
    <t xml:space="preserve"> - risconti passivi finali</t>
  </si>
  <si>
    <t xml:space="preserve">    -</t>
  </si>
  <si>
    <t xml:space="preserve"> - variazione posititiva rimanenze</t>
  </si>
  <si>
    <t xml:space="preserve"> - ratei attivi iniziali</t>
  </si>
  <si>
    <t xml:space="preserve"> - quota di ricavi pluriennali</t>
  </si>
  <si>
    <t xml:space="preserve"> - ratei attivi finali</t>
  </si>
  <si>
    <t xml:space="preserve"> - plusvalenze</t>
  </si>
  <si>
    <t xml:space="preserve">Saldo maggiori/minori proventi </t>
  </si>
  <si>
    <t xml:space="preserve"> - maggiori crediti iscritti fra i residui attivi</t>
  </si>
  <si>
    <t xml:space="preserve"> - minori debiti iscritti fra residui passivi</t>
  </si>
  <si>
    <t>Spese correnti:</t>
  </si>
  <si>
    <t xml:space="preserve"> - sopravvenienze attive</t>
  </si>
  <si>
    <t xml:space="preserve"> - rettifiche per iva</t>
  </si>
  <si>
    <t xml:space="preserve"> - costi anni futuri iniziali</t>
  </si>
  <si>
    <t>Integrazioni negative:</t>
  </si>
  <si>
    <t xml:space="preserve"> - costi anni futuri finali</t>
  </si>
  <si>
    <t xml:space="preserve"> - variazione negativa di rimanenze</t>
  </si>
  <si>
    <t xml:space="preserve"> - risconti attivi iniziali</t>
  </si>
  <si>
    <t xml:space="preserve"> - trasferimenti in conto capitale</t>
  </si>
  <si>
    <t xml:space="preserve"> - risconti attivi finali</t>
  </si>
  <si>
    <t xml:space="preserve"> - quota di ammortamento</t>
  </si>
  <si>
    <t xml:space="preserve"> - ratei passivi iniziali</t>
  </si>
  <si>
    <t xml:space="preserve"> - minusvalenze</t>
  </si>
  <si>
    <t xml:space="preserve"> - ratei passivi finali</t>
  </si>
  <si>
    <t xml:space="preserve"> - minori crediti iscritti fra residui attivi</t>
  </si>
  <si>
    <t>Saldo minori/maggiori oneri</t>
  </si>
  <si>
    <t xml:space="preserve"> - minori crediti iscritti fra crediti di dubbia esigibilità</t>
  </si>
  <si>
    <t xml:space="preserve"> - svalutazione attività finanziarie</t>
  </si>
  <si>
    <t xml:space="preserve"> - sopravvenienze passive</t>
  </si>
  <si>
    <t>CONTO ECONOMICO</t>
  </si>
  <si>
    <t>Proventi della gestione</t>
  </si>
  <si>
    <t>Costi della gestione</t>
  </si>
  <si>
    <t>Risultato della gestione</t>
  </si>
  <si>
    <t>Proventi ed oneri da aziende speciali partecipate</t>
  </si>
  <si>
    <t>Risultato della gestione operativa</t>
  </si>
  <si>
    <t>Proventi (+) ed oneri (-) finanziari</t>
  </si>
  <si>
    <t>Proventi (+) ed oneri (-) straordinari</t>
  </si>
  <si>
    <t>Risultato economico di esercizio</t>
  </si>
  <si>
    <t xml:space="preserve">quote di ammortamento </t>
  </si>
  <si>
    <t>Società</t>
  </si>
  <si>
    <t>parziali</t>
  </si>
  <si>
    <t>totali</t>
  </si>
  <si>
    <r>
      <t>Provent</t>
    </r>
    <r>
      <rPr>
        <sz val="10"/>
        <rFont val="Arial"/>
        <family val="2"/>
      </rPr>
      <t>i:</t>
    </r>
  </si>
  <si>
    <t>Plusvalenze da alienazione</t>
  </si>
  <si>
    <t>Insussistenze passivo:</t>
  </si>
  <si>
    <t>di cui:</t>
  </si>
  <si>
    <t>Sopravvenienze attive:</t>
  </si>
  <si>
    <t>Proventi straordinari</t>
  </si>
  <si>
    <t>Totale proventi straordinari</t>
  </si>
  <si>
    <t>Oneri:</t>
  </si>
  <si>
    <t>Minusvalenze da alienazione</t>
  </si>
  <si>
    <t>Oneri straordinari</t>
  </si>
  <si>
    <t>Di cui:</t>
  </si>
  <si>
    <t>Insussistenze attivo</t>
  </si>
  <si>
    <t>Sopravvenienze passive</t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</si>
  <si>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maggiori crediti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</si>
  <si>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donazioni ed acquisizioni gratuite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</si>
  <si>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minori crediti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</si>
  <si>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riduzione valore immobilizzazioni</t>
    </r>
  </si>
  <si>
    <t>-     per (altro da specificare)</t>
  </si>
  <si>
    <t>-     per minori conferimenti</t>
  </si>
  <si>
    <t>-     per minori debiti di funzionamento</t>
  </si>
  <si>
    <t xml:space="preserve">   (finanziati con mezzi propri)</t>
  </si>
  <si>
    <t>-  da altri oneri straord. rilevati nel conto del bilancio</t>
  </si>
  <si>
    <t>-  da trasferimenti in conto capitale a terzi</t>
  </si>
  <si>
    <t>Totale oneri straordinari</t>
  </si>
  <si>
    <t>-  da costi ed oneri per debiti riconosciuti di competenza esercizi precedenti</t>
  </si>
  <si>
    <t>CONTO DEL PATRIMONIO</t>
  </si>
  <si>
    <t>Attivo</t>
  </si>
  <si>
    <t>Immobilizzazioni immateriali</t>
  </si>
  <si>
    <t>Immobilizzazioni materiali</t>
  </si>
  <si>
    <t>Immobilizzazioni finanziarie</t>
  </si>
  <si>
    <t>Totale immobilizzazioni</t>
  </si>
  <si>
    <t>Rimanenze</t>
  </si>
  <si>
    <t>Crediti</t>
  </si>
  <si>
    <t>Altre attività finanziarie</t>
  </si>
  <si>
    <t>Disponibilità liquide</t>
  </si>
  <si>
    <t>Totale attivo circolante</t>
  </si>
  <si>
    <t>Ratei e risconti</t>
  </si>
  <si>
    <t>Totale dell'attivo</t>
  </si>
  <si>
    <t>Conti d'ordine</t>
  </si>
  <si>
    <t>Passivo</t>
  </si>
  <si>
    <t>Patrimonio netto</t>
  </si>
  <si>
    <t>Debiti di funzionamento</t>
  </si>
  <si>
    <t>Debiti per anticipazione di cassa</t>
  </si>
  <si>
    <t>Altri debiti</t>
  </si>
  <si>
    <t>Totale debiti</t>
  </si>
  <si>
    <t>Totale del passivo</t>
  </si>
  <si>
    <t>Variazioni da
conto finanziario</t>
  </si>
  <si>
    <t>Variazioni da
altre cause</t>
  </si>
  <si>
    <t>variazioni in aumento</t>
  </si>
  <si>
    <t>variaz. in diminuzione</t>
  </si>
  <si>
    <t xml:space="preserve">Gestione finanziaria </t>
  </si>
  <si>
    <t>Acquisizioni gratuite</t>
  </si>
  <si>
    <t>Ammortamenti</t>
  </si>
  <si>
    <t>Utilizzo conferimenti (contributi in conto capitale)</t>
  </si>
  <si>
    <t>Beni fuori uso</t>
  </si>
  <si>
    <t>Conferimenti in natura ad organismi esterni</t>
  </si>
  <si>
    <t>Rettifica valore immobilizzazione in corso</t>
  </si>
  <si>
    <t>Valore da quota
di patrimonio netto
della partecipata</t>
  </si>
  <si>
    <t>credito verso l’Erario per iva</t>
  </si>
  <si>
    <t>Utilizzo credito in compensazione</t>
  </si>
  <si>
    <t>Versamenti Iva eseguiti nell’anno</t>
  </si>
  <si>
    <t>Credito o debito Iva a fine anno da indicare nel conto del patrimonio</t>
  </si>
  <si>
    <r>
      <t xml:space="preserve">Credito Iva dell’anno da rettifica </t>
    </r>
    <r>
      <rPr>
        <b/>
        <sz val="10"/>
        <color indexed="8"/>
        <rFont val="Arial"/>
        <family val="2"/>
      </rPr>
      <t>spese</t>
    </r>
    <r>
      <rPr>
        <sz val="10"/>
        <color indexed="8"/>
        <rFont val="Arial"/>
        <family val="2"/>
      </rPr>
      <t xml:space="preserve"> prospetto di conciliazione</t>
    </r>
  </si>
  <si>
    <r>
      <t xml:space="preserve">Debito Iva dell’anno da rettifica </t>
    </r>
    <r>
      <rPr>
        <b/>
        <sz val="10"/>
        <color indexed="8"/>
        <rFont val="Arial"/>
        <family val="2"/>
      </rPr>
      <t>entrate</t>
    </r>
    <r>
      <rPr>
        <sz val="10"/>
        <color indexed="8"/>
        <rFont val="Arial"/>
        <family val="2"/>
      </rPr>
      <t xml:space="preserve"> prospetto di conciliazione</t>
    </r>
  </si>
  <si>
    <t>Credito o debito Iva anno precedente</t>
  </si>
  <si>
    <t>Saldo cassa</t>
  </si>
  <si>
    <t>situazione di cassa</t>
  </si>
  <si>
    <t>risultato della gestione di competenza</t>
  </si>
  <si>
    <t>dettaglio gestione di competenza</t>
  </si>
  <si>
    <t>suddivisione gestione corrente e conto capitale</t>
  </si>
  <si>
    <t>NB: presenti collegamenti con il foglio "Inserimento dati".</t>
  </si>
  <si>
    <t>Differenza
Rend - Prev</t>
  </si>
  <si>
    <t>movimentazione delle somme TARSU rimaste a residuo</t>
  </si>
  <si>
    <t>movimentazione delle somme PERMESSO COSTRUIRE rimaste a residuo</t>
  </si>
  <si>
    <t>Contributi per permesso di costruire A SPESA CORRENTE</t>
  </si>
  <si>
    <t>dettaglio dei proventi e dei costi dei servizi</t>
  </si>
  <si>
    <t>movimentazione delle somme CdS rimaste a residuo</t>
  </si>
  <si>
    <t>Sanzioni CdS
a Spesa Corrente</t>
  </si>
  <si>
    <t>Perc. X Spesa Corrente</t>
  </si>
  <si>
    <t>Perc. X Investimenti</t>
  </si>
  <si>
    <t>movimentazione delle somme rimaste a residuo per canoni di locazione</t>
  </si>
  <si>
    <t>comparazione delle spese correnti</t>
  </si>
  <si>
    <t>Spese sostenute dall’Ente per il personale in convenzione (ai sensi degli articoli 13 e 14 del CCNL 22 gennaio 2004) per la quota parte di costo effettivamente sostenuto</t>
  </si>
  <si>
    <t>Spese per personale con contratto di formazione lavoro</t>
  </si>
  <si>
    <t>Spese per personale utilizzato, senza estinzione del rapporto di pubblico impiego, in strutture ed organismi partecipati e comunque facenti capo all'ente</t>
  </si>
  <si>
    <t>Oneri riflessi a carico del datore di lavoro per contributi obbligatori</t>
  </si>
  <si>
    <t>Quota parte delle spese per il personale delle Unioni e gestioni associate</t>
  </si>
  <si>
    <t>Spese destintate alla previdenza e assistenza delle forze di polizia municipale finanziae con proventi da sanzioni del codice della strada</t>
  </si>
  <si>
    <t>Oneri per il nucleo familiare, buoni pasto e spese per equo indennizzo</t>
  </si>
  <si>
    <t>Somme rimborsate ad altre amministrazioni per il personale in posizione di comando</t>
  </si>
  <si>
    <t>Altre spese (specificare):</t>
  </si>
  <si>
    <t>Spese di personale totalmente a carico di finanziamenti comunitari o privati</t>
  </si>
  <si>
    <t>Spese per il lavoro straordinario e altri oneri di personale direttamente connessi all’attività elettorale con rimborso dal Ministero dell’Interno</t>
  </si>
  <si>
    <t>Spese per la formazione e rimborsi per le missioni</t>
  </si>
  <si>
    <t>Spese per il personale appartenente alle categorie protette</t>
  </si>
  <si>
    <t>Spese sostenute per il personale comandato presso altre amministrazioni per le quali è previsto il rimborso dalle amministrazioni utilizzatrici</t>
  </si>
  <si>
    <t>Incentivi per la progettazione</t>
  </si>
  <si>
    <t xml:space="preserve">Incentivi recupero ICI </t>
  </si>
  <si>
    <t>Diritto di rogito</t>
  </si>
  <si>
    <t>Altre (da specificare)</t>
  </si>
  <si>
    <t>finanziamento spese investimento</t>
  </si>
  <si>
    <t>destinazione risorse da indebitamento</t>
  </si>
  <si>
    <t>elenco contratti di locazione finanziaria</t>
  </si>
  <si>
    <t>Evoluzione debiti fuori bilancio</t>
  </si>
  <si>
    <t>incidenza debiti FB su entrate correnti</t>
  </si>
  <si>
    <t>rettifiche apportate a entrate e spese</t>
  </si>
  <si>
    <t>I proventi e gli oneri straordinari</t>
  </si>
  <si>
    <t>Le variazioni alle immobilizzazioni materiali</t>
  </si>
  <si>
    <t>Confronto valore iscritto con quota PN</t>
  </si>
  <si>
    <t>tasso medio indebitamento</t>
  </si>
  <si>
    <t>Indebitamento inizio esercizio</t>
  </si>
  <si>
    <t>Tasso medio (oneri fin. / indebitamento iniziale)</t>
  </si>
  <si>
    <t>Spese sostenute per il personale previsto dall’art. 90 del TUEL</t>
  </si>
  <si>
    <t>Consuntivo 2012</t>
  </si>
  <si>
    <t>Previsione 2015</t>
  </si>
  <si>
    <t>Confronto tra previsioni iniziali  e rendiconto 2012</t>
  </si>
  <si>
    <t>Rendiconto
2012</t>
  </si>
  <si>
    <t>Rendiconto 2012</t>
  </si>
  <si>
    <t>Accertamento 2012</t>
  </si>
  <si>
    <t>Valore iscritto nel 
conto del patrimonio
al 31/12/2012</t>
  </si>
  <si>
    <t>Titolo I:</t>
  </si>
  <si>
    <t xml:space="preserve">Entrate tributarie    </t>
  </si>
  <si>
    <t>Titolo II:</t>
  </si>
  <si>
    <t xml:space="preserve">Entrate da contributi e trasferimenti correnti dello Stato, della Regione e di altri enti pubblici </t>
  </si>
  <si>
    <t>Titolo III:</t>
  </si>
  <si>
    <t>Titolo IV:</t>
  </si>
  <si>
    <t>Entrate da alienazioni, da trasferimenti di capitale e da riscossioni di crediti</t>
  </si>
  <si>
    <t>Titolo V:</t>
  </si>
  <si>
    <t>Entrate derivanti da accensioni di prestiti</t>
  </si>
  <si>
    <t>Spese per rimborso di prestiti</t>
  </si>
  <si>
    <t>Titolo VI:</t>
  </si>
  <si>
    <t>Entrate da servizi per conto di terzi</t>
  </si>
  <si>
    <t>Spese per servizi per conto di terzi</t>
  </si>
  <si>
    <t>Totale complessivo entrate</t>
  </si>
  <si>
    <t>Totale complessivo spese</t>
  </si>
  <si>
    <t>Saldo netto da finanziare o da impiegare</t>
  </si>
  <si>
    <t>equilibrio finale</t>
  </si>
  <si>
    <t>entrate finali (titoli I,II,III e IV)</t>
  </si>
  <si>
    <t>+</t>
  </si>
  <si>
    <t>spese finali (titoli I e II)</t>
  </si>
  <si>
    <t>saldo netto da finanziare</t>
  </si>
  <si>
    <t>saldo netto da impiegare</t>
  </si>
  <si>
    <t xml:space="preserve"> - alienazione di patrimonio per finanz.to debiti fuori bilancio parte corrente</t>
  </si>
  <si>
    <t xml:space="preserve"> - imposta di scopo (comma 145-151 art.1 L. 296/2006)</t>
  </si>
  <si>
    <t>Totale avanzo di parte corrente</t>
  </si>
  <si>
    <t>differenza finanziata 2014</t>
  </si>
  <si>
    <t>differenza destinata 2014</t>
  </si>
  <si>
    <t>Entrate e spese aventi carattere di eccezionalità</t>
  </si>
  <si>
    <t xml:space="preserve"> </t>
  </si>
  <si>
    <t xml:space="preserve"> - contributo rilascio permesso di costruire</t>
  </si>
  <si>
    <t xml:space="preserve"> - recupero evasione tributaria</t>
  </si>
  <si>
    <t xml:space="preserve"> - sanzioni al codice della strada</t>
  </si>
  <si>
    <t xml:space="preserve"> - oneri straordinari della gestione corrente</t>
  </si>
  <si>
    <t xml:space="preserve"> - compartecipazione lotta all'evasione</t>
  </si>
  <si>
    <t xml:space="preserve">    Totale</t>
  </si>
  <si>
    <t>Verifica dell’equilibrio di parte straordinaria</t>
  </si>
  <si>
    <t>Mezzi propri</t>
  </si>
  <si>
    <t xml:space="preserve">    Totale mezzi propri</t>
  </si>
  <si>
    <t>Mezzi di terzi</t>
  </si>
  <si>
    <t xml:space="preserve"> - contributi da altri enti</t>
  </si>
  <si>
    <t xml:space="preserve">    Totale mezzi di terzi </t>
  </si>
  <si>
    <t>TOTALE RISORSE</t>
  </si>
  <si>
    <t>TOTALE IMPIEGHI AL TITOLO II DELLA SPESA</t>
  </si>
  <si>
    <t>Avanzo presunto applicato</t>
  </si>
  <si>
    <t>Avanzo vincolato applicato alla spesa corrente</t>
  </si>
  <si>
    <t>Avanzo vincolato applicato alla spesa in conto capitale</t>
  </si>
  <si>
    <t>Avanzo disponibile applicato per il finanziamento di debiti fuori bilancio di parte capitale</t>
  </si>
  <si>
    <t>Avanzo disponibile applicato per l’estinzione anticipata di prestiti</t>
  </si>
  <si>
    <t>Avanzo vincolato applicato per il reinvestimento delle quote accantonate per ammortamento</t>
  </si>
  <si>
    <t>Totale avanzo di amministrazione applicato alla spesa corrente o al rimborso della quota capitale di mutui o prestiti</t>
  </si>
  <si>
    <t>Totale avanzo di amministrazione applicato alla spesa in conto capitale</t>
  </si>
  <si>
    <t>InsDati</t>
  </si>
  <si>
    <t xml:space="preserve"> - avanzo destinato ad estinzione anticipata di prestiti ( art. 11 D.L. 159/2007)</t>
  </si>
  <si>
    <t>Totale disavanzo di parte corrente</t>
  </si>
  <si>
    <t xml:space="preserve"> - proventi di parcheggi a pagamento (art.7, comma 7 del d.lgs.285/1992).</t>
  </si>
  <si>
    <t xml:space="preserve"> - canoni concessori pluriennali iscritti al titolo III entrate dest. ad invest. (da specificare)</t>
  </si>
  <si>
    <t xml:space="preserve"> - sanzioni amm.ve imp. pubblicità e diritti pubb.affissioni (art. 24 d.lgs.507/1993)</t>
  </si>
  <si>
    <t xml:space="preserve"> - sanzioni amm.ve per violazione codice della strada (art. 208 d.lgs. 285/1992)</t>
  </si>
  <si>
    <t xml:space="preserve"> - contributo permesso di costruire</t>
  </si>
  <si>
    <t xml:space="preserve"> - mutui</t>
  </si>
  <si>
    <t xml:space="preserve"> - aperture di credito</t>
  </si>
  <si>
    <t>Avanzo disponibile applicato per il finanziamento di debiti fuori bilancio di parte corrente</t>
  </si>
  <si>
    <t>Avanzo disponibile applicato per il finanziamento di altre spese correnti non ripetitive</t>
  </si>
  <si>
    <t>Avanzo disponibile applicato per il finanziamento di altre spese in c/capitale</t>
  </si>
  <si>
    <t>anno</t>
  </si>
  <si>
    <t>media</t>
  </si>
  <si>
    <t>coefficiente</t>
  </si>
  <si>
    <t>obiettivo di
competenza mista</t>
  </si>
  <si>
    <t>entrate correnti prev. accertamenti</t>
  </si>
  <si>
    <t>spese correnti prev. impegni</t>
  </si>
  <si>
    <t xml:space="preserve">differenza </t>
  </si>
  <si>
    <t>risorse ed impegni esclusi (commi da 7 a16 art,31 legge 183/2011)</t>
  </si>
  <si>
    <t>obiettivo di parte corrente</t>
  </si>
  <si>
    <t>previsione incassi titolo IV</t>
  </si>
  <si>
    <t>previsione pagamenti titolo II</t>
  </si>
  <si>
    <t>incassi e pagamenti esclusi (commi da 7 a16 art,31 legge 183/2011)</t>
  </si>
  <si>
    <t xml:space="preserve">obiettivo di parte capitale </t>
  </si>
  <si>
    <t>obiettivo previsto</t>
  </si>
  <si>
    <t>saldo obiettivo con neutralizzazione riduzione trasferimenti</t>
  </si>
  <si>
    <t>saldo obiettivo</t>
  </si>
  <si>
    <t>gli obiettivi risultano così conseguibili</t>
  </si>
  <si>
    <t>Saldo previsto</t>
  </si>
  <si>
    <t>differenza</t>
  </si>
  <si>
    <t>I.M.U.</t>
  </si>
  <si>
    <t>I.C.I. recupero evasione</t>
  </si>
  <si>
    <t>Imposta comunale sulla pubblicità</t>
  </si>
  <si>
    <t>Addizionale I.R.P.E.F.</t>
  </si>
  <si>
    <t>Imposta di soggiorno</t>
  </si>
  <si>
    <t xml:space="preserve">Tassa rifiuti solidi urbani </t>
  </si>
  <si>
    <t>Addizionale erariale sulla tassa smalt.rifiuti</t>
  </si>
  <si>
    <t>Recupero evasione tassa rifiuti</t>
  </si>
  <si>
    <t>Fondo sperimentale di riequilibrio</t>
  </si>
  <si>
    <t>Fondo solidarietà comunale</t>
  </si>
  <si>
    <t>Fondo di solidarietà comunale</t>
  </si>
  <si>
    <t>fondo sperimentale di riequilibrio</t>
  </si>
  <si>
    <t>fondo di solidarietà comunale</t>
  </si>
  <si>
    <t>Prev.2013</t>
  </si>
  <si>
    <t>Prev.2014</t>
  </si>
  <si>
    <t>Prev.2015</t>
  </si>
  <si>
    <t>ICI/IMU</t>
  </si>
  <si>
    <t>T.A.R.S.U.</t>
  </si>
  <si>
    <t>ALTRE</t>
  </si>
  <si>
    <t>Prev. Def. 2012 o
Rendiconto 2012</t>
  </si>
  <si>
    <t xml:space="preserve"> %
copertura 2012</t>
  </si>
  <si>
    <t xml:space="preserve"> %
copertura 2013</t>
  </si>
  <si>
    <t>n.d.</t>
  </si>
  <si>
    <t>Spese/costi
prev. 2013</t>
  </si>
  <si>
    <t>Musei, pinacoteche, gallerie e mostre</t>
  </si>
  <si>
    <t>Tab. 17</t>
  </si>
  <si>
    <t>10 -</t>
  </si>
  <si>
    <t>11 -</t>
  </si>
  <si>
    <t>09 -</t>
  </si>
  <si>
    <t>Ammortamenti di esercizio</t>
  </si>
  <si>
    <t>Fondo svalutazione crediti</t>
  </si>
  <si>
    <t>Fondo di riserva</t>
  </si>
  <si>
    <t>Acquisto beni di consumo e/o materie prime</t>
  </si>
  <si>
    <t>altre spese incluse</t>
  </si>
  <si>
    <t>Totale spese di personale</t>
  </si>
  <si>
    <t>spese escluse</t>
  </si>
  <si>
    <t>Spese soggette al limite (c. 557 o 562)</t>
  </si>
  <si>
    <t>Incidenza % su spese correnti</t>
  </si>
  <si>
    <t>Spese per acquisto beni,  prestazione di servizi e utilizzo di beni di terzi</t>
  </si>
  <si>
    <t xml:space="preserve">Tipologia spesa </t>
  </si>
  <si>
    <t>Rendiconto
2009</t>
  </si>
  <si>
    <t>Riduzione disposta</t>
  </si>
  <si>
    <t>Studi e consulenze</t>
  </si>
  <si>
    <t>Sponsorizzazioni</t>
  </si>
  <si>
    <t>Missioni</t>
  </si>
  <si>
    <t>Formazione</t>
  </si>
  <si>
    <t>Relazioni pubbliche,convegni,mostre,
pubblicità e rappresentanza</t>
  </si>
  <si>
    <t>Acquisto,manutenzione,noleggio,
esercizio autovetture</t>
  </si>
  <si>
    <t>L’onere a carico del bilancio del Comune per i servizi esternalizzati</t>
  </si>
  <si>
    <t>Per trasferimenti in conto esercizio</t>
  </si>
  <si>
    <t>Per concessione di crediti</t>
  </si>
  <si>
    <t>apertura di credito</t>
  </si>
  <si>
    <t>assunzione mutui</t>
  </si>
  <si>
    <t>assunzione mutui flessibili</t>
  </si>
  <si>
    <t>prestito obbligazionario</t>
  </si>
  <si>
    <t>prestito obbligazionario in pool</t>
  </si>
  <si>
    <t>cartolarizzazione di flussi di entrata</t>
  </si>
  <si>
    <t>cart.con corrisp.iniz.inf.85% dei prezzi di mercato dell'attività</t>
  </si>
  <si>
    <t>cartolarizzazione garantita da Pubblica Amministrazione</t>
  </si>
  <si>
    <t>cessione o cartolarizzazione di crediti</t>
  </si>
  <si>
    <t xml:space="preserve">premio da introitare al momento di perfez.di operazioni derivate </t>
  </si>
  <si>
    <t>Investimenti con indebitamento</t>
  </si>
  <si>
    <t>opere a scomputo di permesso di costruire</t>
  </si>
  <si>
    <t>acquisisioni gratuite da convenzioni urbanistiche</t>
  </si>
  <si>
    <t xml:space="preserve">permute </t>
  </si>
  <si>
    <t>project financing</t>
  </si>
  <si>
    <t>trasferimento di immobili ex art. 128, co 4 e 53, co 6 D.lgs 163/2006</t>
  </si>
  <si>
    <t>Investimenti senza esborsi finanziari</t>
  </si>
  <si>
    <t>Verifica della capacità di indebitamento</t>
  </si>
  <si>
    <t>Limite di impegno di spesa per interessi passivi</t>
  </si>
  <si>
    <t>Interessi passivi sui mutui in ammortamento e altri debiti</t>
  </si>
  <si>
    <t>Incidenza percentuale sulle entrate correnti</t>
  </si>
  <si>
    <t xml:space="preserve">Importo impegnabile per interessi su nuovi mutui </t>
  </si>
  <si>
    <t>Anticipazioni di cassa</t>
  </si>
  <si>
    <t>Entrate correnti (Titolo I, II, III)</t>
  </si>
  <si>
    <t>Anticipazione di cassa</t>
  </si>
  <si>
    <t>Percentuale</t>
  </si>
  <si>
    <t>Entrate correnti (Titoli I, II, III) Rendiconto 2011</t>
  </si>
  <si>
    <t>Interessi passivi</t>
  </si>
  <si>
    <t>% su entrate correnti</t>
  </si>
  <si>
    <t>Limite art.204 TUEL</t>
  </si>
  <si>
    <t>entrate correnti</t>
  </si>
  <si>
    <t>incidenza interessi passivi su entrate correnti</t>
  </si>
  <si>
    <t>Nr. Abitanti al 31/12</t>
  </si>
  <si>
    <t>Debito medio per abitante</t>
  </si>
  <si>
    <t>Altre variazioni +/- (da specificare)</t>
  </si>
  <si>
    <t>Valore di estinzione al 31.12.2012</t>
  </si>
  <si>
    <t>previsioni pluriennali 2011-2013</t>
  </si>
  <si>
    <t>Previsione
2014</t>
  </si>
  <si>
    <t>Totale triennio</t>
  </si>
  <si>
    <t>Somma</t>
  </si>
  <si>
    <t>Avanzo presunto</t>
  </si>
  <si>
    <t xml:space="preserve">Disavanzo presunto </t>
  </si>
  <si>
    <t>Previsione
2015</t>
  </si>
  <si>
    <t>previsioni pluriennali di spesa corrente</t>
  </si>
  <si>
    <t xml:space="preserve">Classificazione delle spese correnti per intervento </t>
  </si>
  <si>
    <t>Previsioni
2014</t>
  </si>
  <si>
    <t>Acquisto di beni di consumo e materie prime</t>
  </si>
  <si>
    <t>Interessi passivi e oneri finanziari</t>
  </si>
  <si>
    <t>Previsioni
2015</t>
  </si>
  <si>
    <t>var.%
su 2014</t>
  </si>
  <si>
    <t>Coperture finanziarie degli investimenti programmati</t>
  </si>
  <si>
    <t>Alienazione di beni</t>
  </si>
  <si>
    <t>Trasferimenti c/capitale Stato</t>
  </si>
  <si>
    <t>Trasferimenti c/capitale da enti pubblici</t>
  </si>
  <si>
    <t>Trasferimenti da altri soggetti</t>
  </si>
  <si>
    <t>Finanziamenti a breve termine</t>
  </si>
  <si>
    <t>Assunzione di mutui e altri prestiti</t>
  </si>
  <si>
    <t>Emissione di prestiti obbligazionari</t>
  </si>
  <si>
    <t>Avanzo di amministrazione</t>
  </si>
  <si>
    <t>Risorse correnti per investimento</t>
  </si>
  <si>
    <t>Spesa titolo II</t>
  </si>
  <si>
    <t>Sbilancio</t>
  </si>
  <si>
    <t>Controllo quadratura</t>
  </si>
  <si>
    <t>differenza finanziata 2015</t>
  </si>
  <si>
    <t>differenza destinata 2015</t>
  </si>
  <si>
    <t>Entrate/prov.
prev. 2013</t>
  </si>
  <si>
    <t>Le spese di personale, come definite dall’art.1, comma 557 (o comma 562)</t>
  </si>
  <si>
    <t>Denominazione del foglio</t>
  </si>
  <si>
    <t>Tabelle nel foglio</t>
  </si>
  <si>
    <t>EQUILIBRIO DI PARTE CORRENTE PLURIENNALE</t>
  </si>
  <si>
    <t>Vai a …</t>
  </si>
  <si>
    <t xml:space="preserve"> - contributo utilizzo risorse geotermiche e produzione energia (art.16 D.Lgs. 22/2010)</t>
  </si>
  <si>
    <t xml:space="preserve"> - imposta pubblicità ascensori di servizi pubblici (art. 3 legge 235/1993)</t>
  </si>
  <si>
    <t>ancrelmarche@gmail.com</t>
  </si>
  <si>
    <t>Per contributi straordinari</t>
  </si>
  <si>
    <t>Per monetizzazione aree standard</t>
  </si>
  <si>
    <t>Per sanzioni amministrative codice della strada(parte vincolata)</t>
  </si>
  <si>
    <t xml:space="preserve">Per proventi parcheggi pubblici </t>
  </si>
  <si>
    <t>Per contributi in conto capitale</t>
  </si>
  <si>
    <t>Per contributi c/impianti</t>
  </si>
  <si>
    <t>Entrate a destinazione specifica</t>
  </si>
  <si>
    <t>accertamenti titoli I,II e III al netto esclusioni</t>
  </si>
  <si>
    <t>riscossioni titolo IV al netto esclusioni</t>
  </si>
  <si>
    <t>totale entrate finali</t>
  </si>
  <si>
    <t>impegni titolo I al netto esclusioni</t>
  </si>
  <si>
    <t>pagamenti titolo II al netto esclusioni</t>
  </si>
  <si>
    <t>totale spese finali</t>
  </si>
  <si>
    <t>Imposta di scopo</t>
  </si>
  <si>
    <t>Entrate Tributarie</t>
  </si>
  <si>
    <t>recupero evasione</t>
  </si>
  <si>
    <t>Servizi</t>
  </si>
  <si>
    <t>Entrate e delle spese dei Servizi conto terzi (competenza)</t>
  </si>
  <si>
    <t>Entrate e delle spese dei Servizi conto terzi (cassa)</t>
  </si>
  <si>
    <t>Ritenute previdenziali e assistenziali al personale</t>
  </si>
  <si>
    <t>Indebitamento</t>
  </si>
  <si>
    <t>Derivati</t>
  </si>
  <si>
    <t>Per contratti di servizio</t>
  </si>
  <si>
    <t>Per trasferimento in conto capitale</t>
  </si>
  <si>
    <t>Altre spese</t>
  </si>
  <si>
    <t>Organismo partecipato</t>
  </si>
  <si>
    <t>Spese sostenute:</t>
  </si>
  <si>
    <t>Per copertura di disavanzi o perdite</t>
  </si>
  <si>
    <t>Per acquisizione di capitale</t>
  </si>
  <si>
    <t>Per aumento di capitale non per perdite</t>
  </si>
  <si>
    <t>Servizio:</t>
  </si>
  <si>
    <t>Organismo partecipato:</t>
  </si>
  <si>
    <t>ORGANISMI PARTECIPATI</t>
  </si>
  <si>
    <t>società che nell'ultimo bilancio presentano perdite che richiedono gli interventi di cui all’art. 2447 (2482 ter) del codice civile</t>
  </si>
  <si>
    <t>Situazione del capitale artt. 2446 (2482bis), 2447 (2482ter)</t>
  </si>
  <si>
    <t>Decisione dell’assemblea</t>
  </si>
  <si>
    <t>rinvio perdite ai futuri esercizi</t>
  </si>
  <si>
    <t>riduzione del capitale</t>
  </si>
  <si>
    <t>aumento del capitale</t>
  </si>
  <si>
    <t>trasformazione</t>
  </si>
  <si>
    <t>liquidazione</t>
  </si>
  <si>
    <t>Oneri a carico dell'Ente nel 2012</t>
  </si>
  <si>
    <t>Titolo di imputazione degli oneri</t>
  </si>
  <si>
    <t>Valore dei beni conferiti nel 2012</t>
  </si>
  <si>
    <t>Perdite per tre esercizi consecutivi</t>
  </si>
  <si>
    <t>SI</t>
  </si>
  <si>
    <t>NO</t>
  </si>
  <si>
    <t>Saldo del capitale artt. 2446 (2482bis), 2447 (2482ter)</t>
  </si>
  <si>
    <t>Data chiusura ultimo esercizio approvato</t>
  </si>
  <si>
    <t xml:space="preserve">Dati società in house e controllate </t>
  </si>
  <si>
    <t>Organismo in house o controllato:</t>
  </si>
  <si>
    <t>Esercizio</t>
  </si>
  <si>
    <t>Valore della Produzione (voce A del conto economico)</t>
  </si>
  <si>
    <t>di cui: corrispettivi o proventi dall'Ente</t>
  </si>
  <si>
    <t>Risultato di esercizio</t>
  </si>
  <si>
    <t>Risultato di esercizio al netto delle voci di cui alle
lett.D), E) e n°22 del conto economico (art.2425 c.c.)</t>
  </si>
  <si>
    <t>Dividendi distribuiti</t>
  </si>
  <si>
    <t>Indebitamento a fine esercizio (voce D del Passivo)</t>
  </si>
  <si>
    <t>T.F.R. (voce C del Passivo)</t>
  </si>
  <si>
    <t>Personale dipendente al 31.12 (numero unità)</t>
  </si>
  <si>
    <t>Personale dipendente al 31.12 (costo: voce B9 conto econ.)</t>
  </si>
  <si>
    <t>Crediti dell'organismo verso l'Ente Locale al 31.12</t>
  </si>
  <si>
    <t>Crediti dell'Ente Locale verso l'organismo al 31.12</t>
  </si>
  <si>
    <t>Altri debiti dell'organismo verso l’Ente locale al 31.12</t>
  </si>
  <si>
    <t>Fideiussioni dell'Ente locale verso l'organismo al 31.12</t>
  </si>
  <si>
    <t>Altre garanzie dell'Ente locale verso l'organismo al 31.12</t>
  </si>
  <si>
    <t>Tipologia delle altre garanzie</t>
  </si>
  <si>
    <t>Organismi controllati</t>
  </si>
  <si>
    <t>Tab. 56</t>
  </si>
  <si>
    <t>proventi e gli oneri relativi alle aziende speciali e dalle società partecipate</t>
  </si>
  <si>
    <t xml:space="preserve">Dividendi </t>
  </si>
  <si>
    <t xml:space="preserve">Oneri </t>
  </si>
  <si>
    <t>% di part.</t>
  </si>
  <si>
    <t>Parziale</t>
  </si>
  <si>
    <t>spesa per personale (int. 1 + IRAP)</t>
  </si>
  <si>
    <t>TOSAP</t>
  </si>
  <si>
    <t/>
  </si>
  <si>
    <t>Fondo di cassa iniziale</t>
  </si>
  <si>
    <t>Totale titoli (I+II+III)  (A)</t>
  </si>
  <si>
    <t>Spese titolo I (B)</t>
  </si>
  <si>
    <t>Rimborso prestiti (C) di cui:</t>
  </si>
  <si>
    <t xml:space="preserve"> Anticipazioni di tesoreria (3.01.03.01)</t>
  </si>
  <si>
    <t xml:space="preserve"> Rimborso prestiti a breve  termine (3.01.03.02)</t>
  </si>
  <si>
    <t xml:space="preserve"> Rimborso prestiti a  lungo termine (3.01.03.03)</t>
  </si>
  <si>
    <t>Differenza  di parte corrente (D=A-B-C)</t>
  </si>
  <si>
    <t>Entrate titolo V di cui:</t>
  </si>
  <si>
    <t xml:space="preserve"> da anticipazioni di tesoreria (cat.1)</t>
  </si>
  <si>
    <t xml:space="preserve"> da prestiti a breve (cat.2)</t>
  </si>
  <si>
    <t xml:space="preserve"> da mutui e prestiti(cat.3)</t>
  </si>
  <si>
    <t>Totale titoli (IV+V) (E)</t>
  </si>
  <si>
    <t>Spese titolo II (F)</t>
  </si>
  <si>
    <t>Differenza di parte capitale (G=E-F)</t>
  </si>
  <si>
    <t>Entrate titolo VI (H)</t>
  </si>
  <si>
    <t>Spese titolo IV (I)</t>
  </si>
  <si>
    <t xml:space="preserve">Fondo di cassa finale (L = F.do iniziale +D+G+H-I) </t>
  </si>
  <si>
    <t>Giorni di utilizzo dell'anticipazione</t>
  </si>
  <si>
    <t>Utilizzo medio dell'anticipazione</t>
  </si>
  <si>
    <t>Entità anticipazione complessivamente corrisposta</t>
  </si>
  <si>
    <t>Entità anticipazione non restituita al 31/12</t>
  </si>
  <si>
    <t>Entità delle somme maturate a titolo di interessi passivi al 31/12</t>
  </si>
  <si>
    <t>anticipazioni di tesoreria</t>
  </si>
  <si>
    <t>Utilizzo massimo dell'anticipazione</t>
  </si>
  <si>
    <t>Situazione cassa</t>
  </si>
  <si>
    <t>Accertamenti di competenza</t>
  </si>
  <si>
    <t>Impegni di competenza</t>
  </si>
  <si>
    <t>Previsione ass. 2013</t>
  </si>
  <si>
    <t>Consuntivo 2013</t>
  </si>
  <si>
    <t>Previsione 2016</t>
  </si>
  <si>
    <t>Equilibri di parte corrente e capitale</t>
  </si>
  <si>
    <t xml:space="preserve">  di cui a titolo di F.S.R. o fondo di solidarietà</t>
  </si>
  <si>
    <t>Differenza di parte corrente (D=A-B-C)</t>
  </si>
  <si>
    <t>Entrate diverse destinate a spese correnti (F) di cui:</t>
  </si>
  <si>
    <t xml:space="preserve">  Contributo per permessi di costruire</t>
  </si>
  <si>
    <t xml:space="preserve">  Plusvalenze da alienazione di beni patrimoniali</t>
  </si>
  <si>
    <t>Entrate diverse utilizzate per rimborso quote capitale (H)</t>
  </si>
  <si>
    <t>Saldo di parte corrente al netto delle variazioni (D+E+F-G+H)</t>
  </si>
  <si>
    <t>Rimborso prestiti parte del Titolo III* (C)</t>
  </si>
  <si>
    <r>
      <t xml:space="preserve">Utilizzo avanzo di amministrazione applicato alla spesa corrente (+) </t>
    </r>
    <r>
      <rPr>
        <b/>
        <u val="single"/>
        <sz val="10"/>
        <rFont val="Arial"/>
        <family val="2"/>
      </rPr>
      <t>ovvero</t>
    </r>
    <r>
      <rPr>
        <b/>
        <sz val="10"/>
        <rFont val="Arial"/>
        <family val="2"/>
      </rPr>
      <t xml:space="preserve">
Copertura disavanzo (-) (E)</t>
    </r>
  </si>
  <si>
    <t xml:space="preserve">  Altre entrate (specificare)</t>
  </si>
  <si>
    <t>Totale titoli (IV+V) (M)</t>
  </si>
  <si>
    <t>Spese titolo II (N)</t>
  </si>
  <si>
    <t>Differenza di parte capitale (P=M-N)</t>
  </si>
  <si>
    <t>Entrate correnti destinate a spese di investimento (G)</t>
  </si>
  <si>
    <t>&lt;&lt;&lt; Solo cat. 2 + 3 + 4 [NB rettificare manualmente se necessario ]</t>
  </si>
  <si>
    <t>Totale rimborso prestiti (NO anticipazione)</t>
  </si>
  <si>
    <t>&lt;&lt;&lt; inserimento manuale + descrizione</t>
  </si>
  <si>
    <t>Entrate correnti destinate a spese di investimento (G) di cui:</t>
  </si>
  <si>
    <t xml:space="preserve">  Proventi da sanzioni violazioni al CdS</t>
  </si>
  <si>
    <t>Utilizzo avanzo di amministrazione applicato alla spesa in conto capitale [eventuale] (Q)</t>
  </si>
  <si>
    <t>Entrate capitale destinate a spese correnti (F)</t>
  </si>
  <si>
    <t>Saldo di parte capitale al netto delle variazioni (P-F+G-H+Q)</t>
  </si>
  <si>
    <t>entrate e spese non ripetitive</t>
  </si>
  <si>
    <t>Tipologia</t>
  </si>
  <si>
    <t>Contributo rilascio permesso di costruire</t>
  </si>
  <si>
    <t>Contributo sanatoria abusi edilizi e sanzioni</t>
  </si>
  <si>
    <t>Recupero evasione tributaria</t>
  </si>
  <si>
    <t>Entrate per eventi calamitosi</t>
  </si>
  <si>
    <t>Canoni concessori pluriennali</t>
  </si>
  <si>
    <t>Sanzioni per violazioni al codice della strada</t>
  </si>
  <si>
    <t>Spese correnti straordinarie finanziate con risorse eccezionali</t>
  </si>
  <si>
    <t>Consultazioni elettorali o referendarie locali</t>
  </si>
  <si>
    <t>Ripiano disavanzi aziende riferiti ad anni pregressi</t>
  </si>
  <si>
    <t>Spese per eventi calamitosi</t>
  </si>
  <si>
    <t>Sentenze esecutive ed atti equiparati</t>
  </si>
  <si>
    <t>Fondo di cassa al 1° gennaio 2013</t>
  </si>
  <si>
    <t>Fondo di cassa al 31 dicembre 2013</t>
  </si>
  <si>
    <t>Avanzo (+) o Disavanzo di Amministrazione (-) al 31 dicembre 2013</t>
  </si>
  <si>
    <t>risultato di amministrazione</t>
  </si>
  <si>
    <t>Risultato di amministrazione (+/-)</t>
  </si>
  <si>
    <t xml:space="preserve"> a) Vincolato</t>
  </si>
  <si>
    <t xml:space="preserve"> b) Per spese in conto capitale</t>
  </si>
  <si>
    <t xml:space="preserve"> c) Per fondo ammortamento</t>
  </si>
  <si>
    <t xml:space="preserve"> d) Per fondo svalutazione crediti</t>
  </si>
  <si>
    <t xml:space="preserve"> e) Non vincolato (+/-) *</t>
  </si>
  <si>
    <t>evoluzione risultato amministrazione</t>
  </si>
  <si>
    <t>AVANZO (DISAVANZO) DI AMMINISTRAZIONE AL 31.12.2013</t>
  </si>
  <si>
    <t>Riscontro risultati della gestione</t>
  </si>
  <si>
    <t xml:space="preserve">Trend storico gestione competenza </t>
  </si>
  <si>
    <t>Controllo entrate</t>
  </si>
  <si>
    <t>Controllo spese</t>
  </si>
  <si>
    <t>Controllo avanzo</t>
  </si>
  <si>
    <t>Patto stabilità</t>
  </si>
  <si>
    <t>Obiettivo programmatico (A)</t>
  </si>
  <si>
    <t>Saldo finanziario di competenza mista (B)</t>
  </si>
  <si>
    <r>
      <t>spazi finanziari acquisiti con patto orizzontale nazionale 2013</t>
    </r>
    <r>
      <rPr>
        <b/>
        <sz val="8"/>
        <rFont val="Arial"/>
        <family val="2"/>
      </rPr>
      <t xml:space="preserve"> (C) </t>
    </r>
  </si>
  <si>
    <t>pagamenti  di residui passivi in conto capitale art. 4-ter c.6 legge 16/2012 (D)</t>
  </si>
  <si>
    <t>spazi finanziari acquisiti con patto orizzontale naz.le 2012 e non utilizzati (E = C-D)</t>
  </si>
  <si>
    <t>Saldo obiettivo finale (F = A + E)</t>
  </si>
  <si>
    <t>Differenza fra saldo finanziario e saldo obiettivo finale (G = B - F)</t>
  </si>
  <si>
    <t>Verifica patto di stabilità</t>
  </si>
  <si>
    <t>Rendiconto 2013</t>
  </si>
  <si>
    <t>Recupero evasione ICI/IMU</t>
  </si>
  <si>
    <t>Recupero evasione TARSU/TIA</t>
  </si>
  <si>
    <t>Accertamento</t>
  </si>
  <si>
    <t>Riscossione (competenza)</t>
  </si>
  <si>
    <t>Riscossione (residui)</t>
  </si>
  <si>
    <t>entrate recupero evasione</t>
  </si>
  <si>
    <t>movimento residui recupero evasione</t>
  </si>
  <si>
    <t>Anno - 3</t>
  </si>
  <si>
    <t>Anno - 2</t>
  </si>
  <si>
    <t>Anno - 1</t>
  </si>
  <si>
    <t>Comune di</t>
  </si>
  <si>
    <t>Accertamento 2013</t>
  </si>
  <si>
    <t>Residui attivi al 1/1/2013</t>
  </si>
  <si>
    <t>Residui riscossi nel 2013</t>
  </si>
  <si>
    <t>Residui (da residui) al 31/12/2013</t>
  </si>
  <si>
    <t>Prev. Iniz.
2013</t>
  </si>
  <si>
    <t>Rendiconto
2013</t>
  </si>
  <si>
    <t>Differenza
Rendiconto
 - Prev. Iniz.</t>
  </si>
  <si>
    <t>RENDICONTO 2013</t>
  </si>
  <si>
    <t>18 - 19 - 20 - 21 - 22</t>
  </si>
  <si>
    <t>Codice della strada</t>
  </si>
  <si>
    <t>Spese x intervento</t>
  </si>
  <si>
    <t>Rendiconto 2012
(o 2008)</t>
  </si>
  <si>
    <t>spese di personale escluse</t>
  </si>
  <si>
    <t>CONTROLLO RISORSE CON EQUILIBRIO CAPITALE</t>
  </si>
  <si>
    <t>SERVIZI CONTO TERZI
gestione di competenza</t>
  </si>
  <si>
    <t>SERVIZI CONTO TERZI
incassi e pagamenti c/competenza</t>
  </si>
  <si>
    <t>Controllo limite art. 204/TUEL</t>
  </si>
  <si>
    <t>NB: presenti campi a inserimento guidato.</t>
  </si>
  <si>
    <t xml:space="preserve">interventi su strumenti finanziari derivati </t>
  </si>
  <si>
    <t>Leasing</t>
  </si>
  <si>
    <t>Organismi partecipati non hanno approvato il bilancio 2012</t>
  </si>
  <si>
    <t>Saldo (avanzo/disavanzo) di competenza</t>
  </si>
  <si>
    <t>Entrate eccezionali correnti o in c/capitale destinate a spesa corrente</t>
  </si>
  <si>
    <t>Sbilancio entrate meno spese non ripetitive</t>
  </si>
  <si>
    <t>Spesa corrente (1)</t>
  </si>
  <si>
    <t>Spesa corrente a carattere non ripetitivo</t>
  </si>
  <si>
    <t>Debiti fuori bilancio</t>
  </si>
  <si>
    <t>Estinzione anticipata di prestiti</t>
  </si>
  <si>
    <t>Spesa in c/capitale</t>
  </si>
  <si>
    <t>Reinvestimento quote accantonate per ammortamento</t>
  </si>
  <si>
    <t>Stralcio crediti di dubbia esigibilità*</t>
  </si>
  <si>
    <t>Totale avanzo utilizzato</t>
  </si>
  <si>
    <t>Avanzo vincolato</t>
  </si>
  <si>
    <t>Avanzo per spese in c/capitale</t>
  </si>
  <si>
    <t>Avanzo non vincolato</t>
  </si>
  <si>
    <t>Applicazione dell'avanzo nel 2013</t>
  </si>
  <si>
    <t>Avanzo per fondo di amm.to</t>
  </si>
  <si>
    <t>Fondo svalutaz.
crediti *</t>
  </si>
  <si>
    <t>Retribuzioni lorde, salario accessorio e lavoro straordinario del personale dipendente con contratto a tempo indeterminato e a tempo determinato</t>
  </si>
  <si>
    <t>Spese per il proprio personale utilizzato, senza estinzione del rapporto di pubblico impiego, in strutture e organismi variamente denominati partecipati o comunque facenti capo all'ente</t>
  </si>
  <si>
    <t>Spese per collaborazione coordinata e continuativa, per contratti di somministrazione e per altre forme di rapporto di lavoro flessibile</t>
  </si>
  <si>
    <t>Eventuali emolumenti a carico dell'Amministrazione corrisposti ai lavoratori socialmente utili</t>
  </si>
  <si>
    <t>Compensi per gli incarichi conferiti ai sensi dell’art. 110, c. 1  TUEL</t>
  </si>
  <si>
    <t>Compensi per gli incarichi conferiti ai sensi dell’art. 110, c. 2  TUEL</t>
  </si>
  <si>
    <t>Spese per il personale trasferito dalla regione o dallo Stato per l'esercizio di funzioni delegate, nei limiti delle risorse corrispondentemente assegnate</t>
  </si>
  <si>
    <t>Oneri derivanti dai rinnovi contrattuali</t>
  </si>
  <si>
    <t>Spese per il personale stagionale a progetto nelle forme di contratto a tempo determinato di lavoro flessibile finanziato con quote di proventi per violazione al Codice della strada</t>
  </si>
  <si>
    <t>Spese per l’assunzione di personale ex dipendente dell’Amministrazione autonoma dei Monopoli di Stato (L. 30 luglio 2010 n. 122, art. 9, comma 25)</t>
  </si>
  <si>
    <t>Maggiori spese autorizzate – entro il 31 maggio 2010 – ai sensi dell’art. 3 comma 120 della legge 244/2007</t>
  </si>
  <si>
    <t>Spese per il lavoro straordinario e altri oneri di personale direttamente connessi all’attività di Censimento finanziate dall’ISTAT (circolare Ministero Economia e Finanze n. 16/2012)</t>
  </si>
  <si>
    <t>Spese per assunzioni di personale con contratto dipendente e o collaborazione coordinata e continuativa ex art. 3-bis, c. 8 e 9 del d.l. n. 95/2012</t>
  </si>
  <si>
    <t>Altre spese escluse ai sensi della normativa vigente (specificare la tipologia di spesa ed il riferimento normativo, nazionale o regionale)</t>
  </si>
  <si>
    <t>Risorse fisse comprensive delle risorse destinate alle progressioni economiche</t>
  </si>
  <si>
    <t>(-) Decurtazioni fondo ex art. 9, co 2-bis</t>
  </si>
  <si>
    <t>(-) Decurtazioni del fondo per trasferimento di funzioni all'Unione di comuni</t>
  </si>
  <si>
    <t>Risorse escluse dal limite di cui art. 9, co 2-bis *    (es. risorse destinate ad incrementare il fondo per le risorse decentrate per gli enti terremotati ex art.3-bis,c.8-bis d.l.n.95/2012)</t>
  </si>
  <si>
    <t>Totale FONDO</t>
  </si>
  <si>
    <t>Percentuale Fondo su spese intervento 01</t>
  </si>
  <si>
    <t>Gest. Corrente</t>
  </si>
  <si>
    <t>Gest. Capitale</t>
  </si>
  <si>
    <t xml:space="preserve">Insussistenze dei residui attivi: </t>
  </si>
  <si>
    <t>Gestione corrente non vincolata</t>
  </si>
  <si>
    <t>Gestione corrente vincolata</t>
  </si>
  <si>
    <t>Gestione in conto capitale vincolata</t>
  </si>
  <si>
    <t>Gestione in conto capitale non vincolata</t>
  </si>
  <si>
    <t>Gestione servizi conto terzi</t>
  </si>
  <si>
    <t xml:space="preserve">Insussistenze dei residui passivi: </t>
  </si>
  <si>
    <t>Residui riscossi</t>
  </si>
  <si>
    <t xml:space="preserve">Residui stralciati o cancellati </t>
  </si>
  <si>
    <t>Titolo VI
(no dep. cauz.)</t>
  </si>
  <si>
    <t>Residui rimasti da riscuotere alla data del 31.12.2012</t>
  </si>
  <si>
    <t>Residui da riscuotere al 31/12/2013</t>
  </si>
  <si>
    <t>Residui ante 2009</t>
  </si>
  <si>
    <t xml:space="preserve"> di cui F.S.R o F.S.</t>
  </si>
  <si>
    <t>Tot. Parte corrente</t>
  </si>
  <si>
    <t>Tot. Parte capitale</t>
  </si>
  <si>
    <t>Totale Attivi</t>
  </si>
  <si>
    <t>Totale Passivi</t>
  </si>
  <si>
    <t>di cui Fitti Attivi</t>
  </si>
  <si>
    <t>di cui trasf. Stato</t>
  </si>
  <si>
    <t>di cui trasf. Regione</t>
  </si>
  <si>
    <t>Quadro generale riassuntivo 2014</t>
  </si>
  <si>
    <t xml:space="preserve">Avanzo amministrazione 2013 presunto </t>
  </si>
  <si>
    <t>Disavanzo  amministrazione 2013 presunto</t>
  </si>
  <si>
    <t>Quadro generale riassuntivo + saldo netto</t>
  </si>
  <si>
    <t>2 - 3</t>
  </si>
  <si>
    <t>2012 Consuntivo</t>
  </si>
  <si>
    <t>Nota anno 2013</t>
  </si>
  <si>
    <t>sono inseriti in automatico i collegamenti al consuntivo 2013</t>
  </si>
  <si>
    <t>se non ancora approvato sostituire con i dati della previsione</t>
  </si>
  <si>
    <t>assestata 2013</t>
  </si>
  <si>
    <t>2014 Previsione</t>
  </si>
  <si>
    <t>EQUILIBRIO DI PARTE CAPITALE PLURIENNALE</t>
  </si>
  <si>
    <t>2015 Previsione</t>
  </si>
  <si>
    <t>2016 Previsione</t>
  </si>
  <si>
    <t>controllo</t>
  </si>
  <si>
    <t xml:space="preserve"> (-50%)</t>
  </si>
  <si>
    <t>Bilancio di previsione 2014</t>
  </si>
  <si>
    <t>4 - 5 - 6 - 7 - 12 - 13</t>
  </si>
  <si>
    <t>differenza finanziata 2016</t>
  </si>
  <si>
    <t>differenza destinata 2016</t>
  </si>
  <si>
    <t>14 - 15 - 16 - 17</t>
  </si>
  <si>
    <t>spesa corrente media 2009/2011</t>
  </si>
  <si>
    <t>spesa corrente
media 2009/2011</t>
  </si>
  <si>
    <t>saldo obiettivo - comuni</t>
  </si>
  <si>
    <t>saldo obiettivo - province</t>
  </si>
  <si>
    <t>obiettivo per gli anni 2014/2016</t>
  </si>
  <si>
    <t xml:space="preserve"> - avanzo di amministrazione 2013 (presunto)</t>
  </si>
  <si>
    <t>sbilancio</t>
  </si>
  <si>
    <t>Rendiconto /
assestamento
2013</t>
  </si>
  <si>
    <t>I.M.U. rimborso x esenzione abitaz.principale</t>
  </si>
  <si>
    <t>TA RI</t>
  </si>
  <si>
    <t>TA SI</t>
  </si>
  <si>
    <t>TA RES</t>
  </si>
  <si>
    <t>IMU</t>
  </si>
  <si>
    <t>IMU ristoro dallo Stato</t>
  </si>
  <si>
    <t>Rend/Assest. 2013</t>
  </si>
  <si>
    <t>Rendic/Assest.
2013</t>
  </si>
  <si>
    <t>Rapp. 2013/2012</t>
  </si>
  <si>
    <t>Rapp. 2014/2013</t>
  </si>
  <si>
    <t>Entrate/prov.
prev. 2014</t>
  </si>
  <si>
    <t>Spese/costi
prev. 2014</t>
  </si>
  <si>
    <t xml:space="preserve"> %
copertura 2014</t>
  </si>
  <si>
    <t>Rendic/Assest. 2013</t>
  </si>
  <si>
    <t>Var. ass.
2014 - 2013</t>
  </si>
  <si>
    <t>Var. %
2014 - 2013</t>
  </si>
  <si>
    <t>Costo per il concedente</t>
  </si>
  <si>
    <t>Durata in mesi</t>
  </si>
  <si>
    <t>Costo riscatto</t>
  </si>
  <si>
    <t>Leasing esistenti</t>
  </si>
  <si>
    <t>Previsione
2016</t>
  </si>
  <si>
    <t>Previsioni
2016</t>
  </si>
  <si>
    <t>var.%
su 2015</t>
  </si>
  <si>
    <t>23 - 24</t>
  </si>
  <si>
    <t>27 - 28</t>
  </si>
  <si>
    <t>30 - 31</t>
  </si>
  <si>
    <t>Riduzioni di spesa</t>
  </si>
  <si>
    <t>35 - 36</t>
  </si>
  <si>
    <t>37 - 44</t>
  </si>
  <si>
    <t>Capacità di indebitamento</t>
  </si>
  <si>
    <t>38 - 42</t>
  </si>
  <si>
    <t>39 - 40 - 41</t>
  </si>
  <si>
    <t>Pluriennale generale</t>
  </si>
  <si>
    <t>45 - 46</t>
  </si>
  <si>
    <t>Pluriennale spesa</t>
  </si>
  <si>
    <t>Copertura pluriennale investimenti</t>
  </si>
  <si>
    <t>Bilancio previsione 2014 - Vai al foglio di lavoro …</t>
  </si>
  <si>
    <t>obiettivo
da conseguire</t>
  </si>
  <si>
    <t>pagamenti non
considerati
(comma 9bis)</t>
  </si>
  <si>
    <t xml:space="preserve"> - avanzo d'amm.ne presunto 2013 per finanziamento spese non ripetitive</t>
  </si>
  <si>
    <t xml:space="preserve"> - proventi permessi da costruire destinati a spesa corrente</t>
  </si>
  <si>
    <t>Saldo obiettivo da conseguire</t>
  </si>
  <si>
    <t>2013 Consuntivo
o Prev. Ass.</t>
  </si>
  <si>
    <t>Limite
di spesa</t>
  </si>
  <si>
    <t>sforamento
eventuale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</si>
</sst>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"/>
    <numFmt numFmtId="196" formatCode="_-* #,##0.000_-;\-* #,##0.000_-;_-* &quot;-&quot;??_-;_-@_-"/>
    <numFmt numFmtId="197" formatCode="_-* #,##0.0000_-;\-* #,##0.0000_-;_-* &quot;-&quot;??_-;_-@_-"/>
    <numFmt numFmtId="198" formatCode="0.0%"/>
    <numFmt numFmtId="199" formatCode="_-* #,##0.0_-;\-* #,##0.0_-;_-* &quot;-&quot;??_-;_-@_-"/>
    <numFmt numFmtId="200" formatCode="0.0"/>
    <numFmt numFmtId="201" formatCode="0.000%"/>
    <numFmt numFmtId="202" formatCode="0.0000%"/>
    <numFmt numFmtId="203" formatCode="0.00000%"/>
    <numFmt numFmtId="204" formatCode="#,##0.00_ ;\-#,##0.00\ "/>
    <numFmt numFmtId="205" formatCode="[$-410]dddd\ d\ mmmm\ yyyy"/>
    <numFmt numFmtId="206" formatCode="dd/mm/yy;@"/>
    <numFmt numFmtId="207" formatCode="#,##0.00;[Red]#,##0.00"/>
  </numFmts>
  <fonts count="121">
    <font>
      <sz val="10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Arial"/>
      <family val="2"/>
    </font>
    <font>
      <b/>
      <i/>
      <sz val="12"/>
      <name val="Verdan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i/>
      <sz val="9"/>
      <color indexed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9"/>
      <name val="Palatino Linotype"/>
      <family val="1"/>
    </font>
    <font>
      <sz val="10"/>
      <name val="Palatino Linotype"/>
      <family val="1"/>
    </font>
    <font>
      <sz val="10"/>
      <name val="Times New Roman"/>
      <family val="1"/>
    </font>
    <font>
      <sz val="11"/>
      <name val="Palatino Linotype"/>
      <family val="1"/>
    </font>
    <font>
      <sz val="7"/>
      <name val="Arial"/>
      <family val="2"/>
    </font>
    <font>
      <b/>
      <sz val="7"/>
      <name val="Arial"/>
      <family val="2"/>
    </font>
    <font>
      <sz val="14"/>
      <color indexed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i/>
      <u val="single"/>
      <sz val="10"/>
      <name val="Verdana"/>
      <family val="2"/>
    </font>
    <font>
      <sz val="8"/>
      <name val="Verdana"/>
      <family val="2"/>
    </font>
    <font>
      <sz val="10"/>
      <name val="MS Sans Serif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Calibri"/>
      <family val="2"/>
    </font>
    <font>
      <b/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Calibri"/>
      <family val="2"/>
    </font>
    <font>
      <b/>
      <i/>
      <sz val="9"/>
      <color indexed="2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"/>
      <sz val="8"/>
      <color theme="10"/>
      <name val="Arial"/>
      <family val="2"/>
    </font>
    <font>
      <sz val="7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4"/>
      <color rgb="FF7030A0"/>
      <name val="Arial"/>
      <family val="2"/>
    </font>
    <font>
      <b/>
      <sz val="10"/>
      <color rgb="FFFFFF00"/>
      <name val="Arial"/>
      <family val="2"/>
    </font>
    <font>
      <b/>
      <sz val="14"/>
      <color rgb="FFFFFF00"/>
      <name val="Calibri"/>
      <family val="2"/>
    </font>
    <font>
      <sz val="8"/>
      <color theme="1"/>
      <name val="Arial"/>
      <family val="2"/>
    </font>
    <font>
      <b/>
      <i/>
      <sz val="9"/>
      <color theme="0" tint="-0.1499900072813034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thin"/>
      <right style="thin"/>
      <top style="hair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medium"/>
      <bottom style="medium"/>
    </border>
    <border>
      <left style="dotted"/>
      <right style="thin"/>
      <top style="dotted"/>
      <bottom>
        <color indexed="63"/>
      </bottom>
    </border>
    <border>
      <left style="dotted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1" applyNumberFormat="0" applyAlignment="0" applyProtection="0"/>
    <xf numFmtId="0" fontId="88" fillId="0" borderId="2" applyNumberFormat="0" applyFill="0" applyAlignment="0" applyProtection="0"/>
    <xf numFmtId="0" fontId="89" fillId="21" borderId="3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9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8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 applyFill="0">
      <alignment/>
      <protection/>
    </xf>
    <xf numFmtId="0" fontId="0" fillId="30" borderId="4" applyNumberFormat="0" applyFont="0" applyAlignment="0" applyProtection="0"/>
    <xf numFmtId="0" fontId="94" fillId="20" borderId="5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8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10" fontId="4" fillId="0" borderId="11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85" fillId="0" borderId="0" xfId="53">
      <alignment/>
      <protection/>
    </xf>
    <xf numFmtId="0" fontId="85" fillId="0" borderId="0" xfId="53" applyAlignment="1">
      <alignment horizontal="center"/>
      <protection/>
    </xf>
    <xf numFmtId="0" fontId="19" fillId="0" borderId="13" xfId="53" applyFont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4" fontId="19" fillId="0" borderId="10" xfId="53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10" fontId="0" fillId="0" borderId="10" xfId="6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wrapText="1"/>
    </xf>
    <xf numFmtId="0" fontId="18" fillId="33" borderId="0" xfId="53" applyFont="1" applyFill="1">
      <alignment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5" xfId="53" applyFont="1" applyBorder="1" applyAlignment="1">
      <alignment horizontal="center" wrapText="1"/>
      <protection/>
    </xf>
    <xf numFmtId="0" fontId="19" fillId="0" borderId="16" xfId="53" applyFont="1" applyBorder="1" applyAlignment="1">
      <alignment horizontal="center" wrapText="1"/>
      <protection/>
    </xf>
    <xf numFmtId="0" fontId="19" fillId="0" borderId="17" xfId="53" applyFont="1" applyBorder="1" applyAlignment="1">
      <alignment horizontal="center" wrapText="1"/>
      <protection/>
    </xf>
    <xf numFmtId="0" fontId="19" fillId="0" borderId="18" xfId="53" applyFont="1" applyFill="1" applyBorder="1" applyAlignment="1">
      <alignment horizontal="center" wrapText="1"/>
      <protection/>
    </xf>
    <xf numFmtId="14" fontId="104" fillId="0" borderId="13" xfId="53" applyNumberFormat="1" applyFont="1" applyBorder="1" applyAlignment="1">
      <alignment horizontal="center"/>
      <protection/>
    </xf>
    <xf numFmtId="0" fontId="19" fillId="34" borderId="19" xfId="53" applyFont="1" applyFill="1" applyBorder="1" applyAlignment="1">
      <alignment horizontal="center" wrapText="1"/>
      <protection/>
    </xf>
    <xf numFmtId="4" fontId="19" fillId="34" borderId="20" xfId="53" applyNumberFormat="1" applyFont="1" applyFill="1" applyBorder="1" applyAlignment="1">
      <alignment horizontal="center" wrapText="1"/>
      <protection/>
    </xf>
    <xf numFmtId="4" fontId="19" fillId="0" borderId="13" xfId="53" applyNumberFormat="1" applyFont="1" applyFill="1" applyBorder="1" applyAlignment="1">
      <alignment horizontal="center" wrapText="1"/>
      <protection/>
    </xf>
    <xf numFmtId="4" fontId="19" fillId="34" borderId="21" xfId="53" applyNumberFormat="1" applyFont="1" applyFill="1" applyBorder="1" applyAlignment="1">
      <alignment horizontal="center" wrapText="1"/>
      <protection/>
    </xf>
    <xf numFmtId="0" fontId="104" fillId="0" borderId="22" xfId="53" applyFont="1" applyBorder="1" applyAlignment="1">
      <alignment horizontal="center"/>
      <protection/>
    </xf>
    <xf numFmtId="0" fontId="105" fillId="0" borderId="23" xfId="53" applyFont="1" applyBorder="1">
      <alignment/>
      <protection/>
    </xf>
    <xf numFmtId="0" fontId="104" fillId="0" borderId="0" xfId="53" applyFont="1">
      <alignment/>
      <protection/>
    </xf>
    <xf numFmtId="0" fontId="104" fillId="0" borderId="0" xfId="53" applyFont="1" applyAlignment="1">
      <alignment horizontal="center"/>
      <protection/>
    </xf>
    <xf numFmtId="0" fontId="104" fillId="7" borderId="23" xfId="53" applyFont="1" applyFill="1" applyBorder="1">
      <alignment/>
      <protection/>
    </xf>
    <xf numFmtId="0" fontId="104" fillId="7" borderId="24" xfId="53" applyFont="1" applyFill="1" applyBorder="1" applyAlignment="1">
      <alignment horizontal="center"/>
      <protection/>
    </xf>
    <xf numFmtId="0" fontId="85" fillId="7" borderId="25" xfId="53" applyFill="1" applyBorder="1">
      <alignment/>
      <protection/>
    </xf>
    <xf numFmtId="0" fontId="85" fillId="7" borderId="26" xfId="53" applyFill="1" applyBorder="1">
      <alignment/>
      <protection/>
    </xf>
    <xf numFmtId="0" fontId="106" fillId="7" borderId="27" xfId="53" applyFont="1" applyFill="1" applyBorder="1">
      <alignment/>
      <protection/>
    </xf>
    <xf numFmtId="0" fontId="12" fillId="0" borderId="0" xfId="0" applyFont="1" applyFill="1" applyAlignment="1">
      <alignment/>
    </xf>
    <xf numFmtId="0" fontId="18" fillId="0" borderId="0" xfId="53" applyFont="1" applyFill="1">
      <alignment/>
      <protection/>
    </xf>
    <xf numFmtId="0" fontId="85" fillId="0" borderId="0" xfId="53" applyFill="1">
      <alignment/>
      <protection/>
    </xf>
    <xf numFmtId="0" fontId="85" fillId="0" borderId="0" xfId="53" applyFill="1" applyAlignment="1">
      <alignment horizontal="center"/>
      <protection/>
    </xf>
    <xf numFmtId="0" fontId="85" fillId="7" borderId="27" xfId="53" applyFill="1" applyBorder="1">
      <alignment/>
      <protection/>
    </xf>
    <xf numFmtId="0" fontId="104" fillId="0" borderId="10" xfId="53" applyFont="1" applyBorder="1" applyAlignment="1">
      <alignment horizontal="center"/>
      <protection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57" applyFont="1" applyFill="1" applyAlignment="1" applyProtection="1">
      <alignment/>
      <protection/>
    </xf>
    <xf numFmtId="4" fontId="8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4" fontId="3" fillId="0" borderId="16" xfId="46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centerContinuous" vertical="center"/>
    </xf>
    <xf numFmtId="4" fontId="3" fillId="0" borderId="31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centerContinuous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204" fontId="3" fillId="0" borderId="13" xfId="46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39" xfId="0" applyFont="1" applyBorder="1" applyAlignment="1">
      <alignment vertical="center"/>
    </xf>
    <xf numFmtId="4" fontId="6" fillId="0" borderId="40" xfId="0" applyNumberFormat="1" applyFont="1" applyBorder="1" applyAlignment="1">
      <alignment horizontal="right" vertical="center"/>
    </xf>
    <xf numFmtId="4" fontId="25" fillId="0" borderId="41" xfId="0" applyNumberFormat="1" applyFont="1" applyBorder="1" applyAlignment="1">
      <alignment horizontal="centerContinuous" vertical="center"/>
    </xf>
    <xf numFmtId="4" fontId="26" fillId="0" borderId="41" xfId="0" applyNumberFormat="1" applyFont="1" applyBorder="1" applyAlignment="1">
      <alignment horizontal="centerContinuous" vertical="center"/>
    </xf>
    <xf numFmtId="3" fontId="1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8" fillId="0" borderId="0" xfId="53" applyFont="1">
      <alignment/>
      <protection/>
    </xf>
    <xf numFmtId="0" fontId="27" fillId="0" borderId="0" xfId="53" applyFont="1">
      <alignment/>
      <protection/>
    </xf>
    <xf numFmtId="1" fontId="23" fillId="0" borderId="10" xfId="53" applyNumberFormat="1" applyFont="1" applyBorder="1" applyAlignment="1">
      <alignment horizontal="center" vertical="center" wrapText="1"/>
      <protection/>
    </xf>
    <xf numFmtId="0" fontId="2" fillId="0" borderId="42" xfId="53" applyFont="1" applyBorder="1" applyAlignment="1">
      <alignment horizontal="left" vertical="center" wrapText="1"/>
      <protection/>
    </xf>
    <xf numFmtId="0" fontId="3" fillId="0" borderId="43" xfId="53" applyFont="1" applyBorder="1" applyAlignment="1">
      <alignment vertical="center"/>
      <protection/>
    </xf>
    <xf numFmtId="4" fontId="4" fillId="0" borderId="44" xfId="53" applyNumberFormat="1" applyFont="1" applyBorder="1" applyAlignment="1">
      <alignment horizontal="right" vertical="center"/>
      <protection/>
    </xf>
    <xf numFmtId="0" fontId="2" fillId="0" borderId="45" xfId="53" applyFont="1" applyBorder="1" applyAlignment="1">
      <alignment horizontal="left" vertical="center" wrapText="1"/>
      <protection/>
    </xf>
    <xf numFmtId="0" fontId="3" fillId="0" borderId="46" xfId="53" applyFont="1" applyBorder="1" applyAlignment="1">
      <alignment vertical="center" wrapText="1"/>
      <protection/>
    </xf>
    <xf numFmtId="4" fontId="4" fillId="0" borderId="47" xfId="53" applyNumberFormat="1" applyFont="1" applyBorder="1" applyAlignment="1">
      <alignment horizontal="right" vertical="center"/>
      <protection/>
    </xf>
    <xf numFmtId="0" fontId="3" fillId="0" borderId="46" xfId="53" applyFont="1" applyBorder="1" applyAlignment="1">
      <alignment vertical="center"/>
      <protection/>
    </xf>
    <xf numFmtId="0" fontId="2" fillId="0" borderId="48" xfId="53" applyFont="1" applyBorder="1" applyAlignment="1">
      <alignment horizontal="left" vertical="center" wrapText="1"/>
      <protection/>
    </xf>
    <xf numFmtId="0" fontId="3" fillId="0" borderId="49" xfId="53" applyFont="1" applyBorder="1" applyAlignment="1">
      <alignment vertical="center"/>
      <protection/>
    </xf>
    <xf numFmtId="4" fontId="4" fillId="0" borderId="50" xfId="53" applyNumberFormat="1" applyFont="1" applyBorder="1" applyAlignment="1">
      <alignment horizontal="right" vertical="center"/>
      <protection/>
    </xf>
    <xf numFmtId="0" fontId="2" fillId="0" borderId="51" xfId="53" applyFont="1" applyBorder="1" applyAlignment="1">
      <alignment horizontal="left" vertical="center" wrapText="1"/>
      <protection/>
    </xf>
    <xf numFmtId="0" fontId="3" fillId="0" borderId="49" xfId="53" applyFont="1" applyBorder="1" applyAlignment="1">
      <alignment vertical="center" wrapText="1"/>
      <protection/>
    </xf>
    <xf numFmtId="4" fontId="4" fillId="0" borderId="52" xfId="53" applyNumberFormat="1" applyFont="1" applyBorder="1" applyAlignment="1">
      <alignment horizontal="right" vertical="center"/>
      <protection/>
    </xf>
    <xf numFmtId="4" fontId="6" fillId="0" borderId="40" xfId="53" applyNumberFormat="1" applyFont="1" applyBorder="1" applyAlignment="1">
      <alignment horizontal="right" vertical="center"/>
      <protection/>
    </xf>
    <xf numFmtId="0" fontId="27" fillId="0" borderId="0" xfId="53" applyFont="1" applyAlignment="1">
      <alignment vertical="center"/>
      <protection/>
    </xf>
    <xf numFmtId="3" fontId="27" fillId="0" borderId="0" xfId="53" applyNumberFormat="1" applyFont="1" applyAlignment="1">
      <alignment horizontal="center" vertical="center"/>
      <protection/>
    </xf>
    <xf numFmtId="0" fontId="3" fillId="0" borderId="53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28" fillId="0" borderId="0" xfId="53" applyFont="1" applyBorder="1" applyAlignment="1">
      <alignment vertical="center" wrapText="1"/>
      <protection/>
    </xf>
    <xf numFmtId="3" fontId="4" fillId="0" borderId="0" xfId="53" applyNumberFormat="1" applyFont="1" applyBorder="1" applyAlignment="1">
      <alignment horizontal="center" vertical="center"/>
      <protection/>
    </xf>
    <xf numFmtId="0" fontId="5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48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" fontId="4" fillId="0" borderId="58" xfId="0" applyNumberFormat="1" applyFont="1" applyBorder="1" applyAlignment="1">
      <alignment horizontal="right" vertical="center"/>
    </xf>
    <xf numFmtId="4" fontId="9" fillId="0" borderId="59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/>
    </xf>
    <xf numFmtId="4" fontId="9" fillId="0" borderId="6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top" wrapText="1"/>
    </xf>
    <xf numFmtId="0" fontId="0" fillId="0" borderId="61" xfId="0" applyFont="1" applyBorder="1" applyAlignment="1">
      <alignment horizontal="centerContinuous" vertical="center"/>
    </xf>
    <xf numFmtId="0" fontId="0" fillId="0" borderId="29" xfId="0" applyFont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3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Continuous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47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0" fillId="36" borderId="62" xfId="0" applyNumberFormat="1" applyFont="1" applyFill="1" applyBorder="1" applyAlignment="1">
      <alignment horizontal="right" vertical="center"/>
    </xf>
    <xf numFmtId="204" fontId="3" fillId="0" borderId="10" xfId="46" applyNumberFormat="1" applyFont="1" applyBorder="1" applyAlignment="1">
      <alignment vertical="center"/>
    </xf>
    <xf numFmtId="0" fontId="8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3" fillId="0" borderId="33" xfId="53" applyFont="1" applyBorder="1" applyAlignment="1">
      <alignment vertical="center" wrapText="1"/>
      <protection/>
    </xf>
    <xf numFmtId="0" fontId="2" fillId="0" borderId="63" xfId="53" applyFont="1" applyBorder="1" applyAlignment="1">
      <alignment horizontal="center" vertical="center" wrapText="1"/>
      <protection/>
    </xf>
    <xf numFmtId="0" fontId="3" fillId="35" borderId="62" xfId="53" applyFont="1" applyFill="1" applyBorder="1" applyAlignment="1">
      <alignment vertical="center" wrapText="1"/>
      <protection/>
    </xf>
    <xf numFmtId="0" fontId="3" fillId="35" borderId="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3" fontId="3" fillId="0" borderId="58" xfId="53" applyNumberFormat="1" applyFont="1" applyBorder="1" applyAlignment="1">
      <alignment horizontal="right" vertical="center"/>
      <protection/>
    </xf>
    <xf numFmtId="3" fontId="3" fillId="0" borderId="35" xfId="53" applyNumberFormat="1" applyFont="1" applyBorder="1" applyAlignment="1">
      <alignment horizontal="right" vertical="center"/>
      <protection/>
    </xf>
    <xf numFmtId="0" fontId="4" fillId="0" borderId="64" xfId="53" applyFont="1" applyBorder="1" applyAlignment="1">
      <alignment vertical="center" wrapText="1"/>
      <protection/>
    </xf>
    <xf numFmtId="4" fontId="4" fillId="0" borderId="64" xfId="53" applyNumberFormat="1" applyFont="1" applyBorder="1" applyAlignment="1">
      <alignment horizontal="right" vertical="center"/>
      <protection/>
    </xf>
    <xf numFmtId="0" fontId="4" fillId="0" borderId="47" xfId="53" applyFont="1" applyBorder="1" applyAlignment="1">
      <alignment vertical="center" wrapText="1"/>
      <protection/>
    </xf>
    <xf numFmtId="0" fontId="7" fillId="0" borderId="31" xfId="53" applyFont="1" applyBorder="1" applyAlignment="1">
      <alignment vertical="center" wrapText="1"/>
      <protection/>
    </xf>
    <xf numFmtId="3" fontId="3" fillId="0" borderId="62" xfId="53" applyNumberFormat="1" applyFont="1" applyBorder="1" applyAlignment="1">
      <alignment horizontal="right" vertical="center"/>
      <protection/>
    </xf>
    <xf numFmtId="3" fontId="3" fillId="0" borderId="41" xfId="53" applyNumberFormat="1" applyFont="1" applyBorder="1" applyAlignment="1">
      <alignment horizontal="right" vertical="center"/>
      <protection/>
    </xf>
    <xf numFmtId="4" fontId="4" fillId="0" borderId="65" xfId="53" applyNumberFormat="1" applyFont="1" applyBorder="1" applyAlignment="1">
      <alignment horizontal="right" vertical="center"/>
      <protection/>
    </xf>
    <xf numFmtId="0" fontId="4" fillId="0" borderId="44" xfId="53" applyFont="1" applyBorder="1" applyAlignment="1">
      <alignment vertical="center" wrapText="1"/>
      <protection/>
    </xf>
    <xf numFmtId="4" fontId="8" fillId="0" borderId="66" xfId="53" applyNumberFormat="1" applyFont="1" applyBorder="1" applyAlignment="1">
      <alignment horizontal="right" vertical="center"/>
      <protection/>
    </xf>
    <xf numFmtId="10" fontId="85" fillId="0" borderId="0" xfId="62" applyNumberFormat="1" applyFont="1" applyAlignment="1">
      <alignment/>
    </xf>
    <xf numFmtId="4" fontId="85" fillId="0" borderId="0" xfId="53" applyNumberFormat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29" fillId="37" borderId="0" xfId="53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horizontal="left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3" fillId="0" borderId="54" xfId="53" applyFont="1" applyBorder="1" applyAlignment="1">
      <alignment horizontal="left" vertical="center"/>
      <protection/>
    </xf>
    <xf numFmtId="0" fontId="3" fillId="0" borderId="58" xfId="53" applyFont="1" applyBorder="1" applyAlignment="1">
      <alignment horizontal="left" vertical="center"/>
      <protection/>
    </xf>
    <xf numFmtId="0" fontId="6" fillId="0" borderId="33" xfId="53" applyFont="1" applyBorder="1" applyAlignment="1">
      <alignment horizontal="center" vertical="center"/>
      <protection/>
    </xf>
    <xf numFmtId="4" fontId="3" fillId="0" borderId="16" xfId="53" applyNumberFormat="1" applyFont="1" applyFill="1" applyBorder="1" applyAlignment="1">
      <alignment horizontal="right" vertical="center"/>
      <protection/>
    </xf>
    <xf numFmtId="10" fontId="3" fillId="0" borderId="17" xfId="60" applyNumberFormat="1" applyFont="1" applyFill="1" applyBorder="1" applyAlignment="1">
      <alignment horizontal="center" vertical="center"/>
    </xf>
    <xf numFmtId="10" fontId="3" fillId="0" borderId="18" xfId="60" applyNumberFormat="1" applyFont="1" applyFill="1" applyBorder="1" applyAlignment="1">
      <alignment horizontal="center" vertical="center"/>
    </xf>
    <xf numFmtId="4" fontId="3" fillId="0" borderId="63" xfId="53" applyNumberFormat="1" applyFont="1" applyFill="1" applyBorder="1" applyAlignment="1">
      <alignment horizontal="right" vertical="center"/>
      <protection/>
    </xf>
    <xf numFmtId="10" fontId="3" fillId="0" borderId="67" xfId="60" applyNumberFormat="1" applyFont="1" applyFill="1" applyBorder="1" applyAlignment="1">
      <alignment horizontal="center" vertical="center"/>
    </xf>
    <xf numFmtId="4" fontId="3" fillId="0" borderId="23" xfId="53" applyNumberFormat="1" applyFont="1" applyFill="1" applyBorder="1" applyAlignment="1">
      <alignment horizontal="right" vertical="center"/>
      <protection/>
    </xf>
    <xf numFmtId="0" fontId="10" fillId="0" borderId="58" xfId="53" applyFont="1" applyBorder="1">
      <alignment/>
      <protection/>
    </xf>
    <xf numFmtId="4" fontId="3" fillId="0" borderId="68" xfId="53" applyNumberFormat="1" applyFont="1" applyBorder="1">
      <alignment/>
      <protection/>
    </xf>
    <xf numFmtId="4" fontId="3" fillId="0" borderId="69" xfId="53" applyNumberFormat="1" applyFont="1" applyBorder="1">
      <alignment/>
      <protection/>
    </xf>
    <xf numFmtId="4" fontId="19" fillId="0" borderId="10" xfId="53" applyNumberFormat="1" applyFont="1" applyBorder="1" applyAlignment="1">
      <alignment horizontal="center" vertical="top" wrapText="1"/>
      <protection/>
    </xf>
    <xf numFmtId="4" fontId="3" fillId="0" borderId="70" xfId="53" applyNumberFormat="1" applyFont="1" applyBorder="1">
      <alignment/>
      <protection/>
    </xf>
    <xf numFmtId="0" fontId="8" fillId="0" borderId="48" xfId="53" applyFont="1" applyBorder="1" applyAlignment="1">
      <alignment horizontal="center"/>
      <protection/>
    </xf>
    <xf numFmtId="4" fontId="8" fillId="0" borderId="71" xfId="53" applyNumberFormat="1" applyFont="1" applyBorder="1">
      <alignment/>
      <protection/>
    </xf>
    <xf numFmtId="4" fontId="8" fillId="0" borderId="72" xfId="53" applyNumberFormat="1" applyFont="1" applyBorder="1">
      <alignment/>
      <protection/>
    </xf>
    <xf numFmtId="0" fontId="8" fillId="0" borderId="48" xfId="53" applyFont="1" applyBorder="1">
      <alignment/>
      <protection/>
    </xf>
    <xf numFmtId="4" fontId="3" fillId="0" borderId="0" xfId="53" applyNumberFormat="1" applyFont="1" applyBorder="1">
      <alignment/>
      <protection/>
    </xf>
    <xf numFmtId="0" fontId="10" fillId="0" borderId="48" xfId="53" applyFont="1" applyBorder="1">
      <alignment/>
      <protection/>
    </xf>
    <xf numFmtId="0" fontId="8" fillId="0" borderId="62" xfId="53" applyFont="1" applyBorder="1" applyAlignment="1">
      <alignment horizontal="center"/>
      <protection/>
    </xf>
    <xf numFmtId="10" fontId="6" fillId="0" borderId="28" xfId="62" applyNumberFormat="1" applyFont="1" applyBorder="1" applyAlignment="1">
      <alignment horizontal="center"/>
    </xf>
    <xf numFmtId="0" fontId="107" fillId="0" borderId="0" xfId="53" applyFont="1">
      <alignment/>
      <protection/>
    </xf>
    <xf numFmtId="0" fontId="107" fillId="0" borderId="35" xfId="53" applyFont="1" applyBorder="1">
      <alignment/>
      <protection/>
    </xf>
    <xf numFmtId="0" fontId="107" fillId="0" borderId="61" xfId="53" applyFont="1" applyBorder="1">
      <alignment/>
      <protection/>
    </xf>
    <xf numFmtId="0" fontId="107" fillId="0" borderId="48" xfId="53" applyFont="1" applyBorder="1">
      <alignment/>
      <protection/>
    </xf>
    <xf numFmtId="0" fontId="0" fillId="0" borderId="48" xfId="0" applyFont="1" applyBorder="1" applyAlignment="1">
      <alignment/>
    </xf>
    <xf numFmtId="4" fontId="107" fillId="0" borderId="41" xfId="53" applyNumberFormat="1" applyFont="1" applyBorder="1">
      <alignment/>
      <protection/>
    </xf>
    <xf numFmtId="0" fontId="11" fillId="0" borderId="73" xfId="0" applyFont="1" applyBorder="1" applyAlignment="1">
      <alignment vertical="top" wrapText="1"/>
    </xf>
    <xf numFmtId="0" fontId="11" fillId="0" borderId="74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1" fillId="0" borderId="76" xfId="0" applyFont="1" applyBorder="1" applyAlignment="1">
      <alignment vertical="top" wrapText="1"/>
    </xf>
    <xf numFmtId="0" fontId="21" fillId="0" borderId="10" xfId="53" applyFont="1" applyBorder="1" applyAlignment="1">
      <alignment horizontal="center" vertical="top" wrapText="1"/>
      <protection/>
    </xf>
    <xf numFmtId="4" fontId="9" fillId="0" borderId="40" xfId="53" applyNumberFormat="1" applyFont="1" applyBorder="1" applyAlignment="1">
      <alignment horizontal="right" vertical="center"/>
      <protection/>
    </xf>
    <xf numFmtId="0" fontId="4" fillId="38" borderId="77" xfId="53" applyFont="1" applyFill="1" applyBorder="1" applyAlignment="1">
      <alignment horizontal="center" vertical="center"/>
      <protection/>
    </xf>
    <xf numFmtId="4" fontId="4" fillId="0" borderId="13" xfId="53" applyNumberFormat="1" applyFont="1" applyBorder="1" applyAlignment="1">
      <alignment horizontal="right" vertical="center"/>
      <protection/>
    </xf>
    <xf numFmtId="0" fontId="3" fillId="38" borderId="0" xfId="53" applyFont="1" applyFill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4" fontId="0" fillId="35" borderId="78" xfId="53" applyNumberFormat="1" applyFont="1" applyFill="1" applyBorder="1" applyAlignment="1">
      <alignment horizontal="right" vertical="center"/>
      <protection/>
    </xf>
    <xf numFmtId="0" fontId="3" fillId="35" borderId="79" xfId="53" applyFont="1" applyFill="1" applyBorder="1" applyAlignment="1">
      <alignment vertical="center"/>
      <protection/>
    </xf>
    <xf numFmtId="4" fontId="0" fillId="0" borderId="50" xfId="53" applyNumberFormat="1" applyFont="1" applyBorder="1" applyAlignment="1">
      <alignment horizontal="right" vertical="center"/>
      <protection/>
    </xf>
    <xf numFmtId="0" fontId="3" fillId="0" borderId="29" xfId="53" applyFont="1" applyBorder="1" applyAlignment="1">
      <alignment vertical="center" wrapText="1"/>
      <protection/>
    </xf>
    <xf numFmtId="4" fontId="0" fillId="0" borderId="47" xfId="53" applyNumberFormat="1" applyFont="1" applyBorder="1" applyAlignment="1">
      <alignment horizontal="right" vertical="center"/>
      <protection/>
    </xf>
    <xf numFmtId="0" fontId="3" fillId="0" borderId="45" xfId="53" applyFont="1" applyBorder="1" applyAlignment="1">
      <alignment vertical="center" wrapText="1"/>
      <protection/>
    </xf>
    <xf numFmtId="4" fontId="0" fillId="0" borderId="13" xfId="53" applyNumberFormat="1" applyFont="1" applyBorder="1" applyAlignment="1">
      <alignment horizontal="right" vertical="center"/>
      <protection/>
    </xf>
    <xf numFmtId="0" fontId="3" fillId="0" borderId="58" xfId="53" applyFont="1" applyBorder="1" applyAlignment="1">
      <alignment vertical="center" wrapText="1"/>
      <protection/>
    </xf>
    <xf numFmtId="0" fontId="22" fillId="0" borderId="63" xfId="53" applyFont="1" applyBorder="1" applyAlignment="1">
      <alignment horizontal="center" vertical="center" wrapText="1"/>
      <protection/>
    </xf>
    <xf numFmtId="0" fontId="22" fillId="0" borderId="63" xfId="53" applyFont="1" applyBorder="1" applyAlignment="1">
      <alignment horizontal="center" vertical="center"/>
      <protection/>
    </xf>
    <xf numFmtId="0" fontId="8" fillId="36" borderId="48" xfId="53" applyFont="1" applyFill="1" applyBorder="1" applyAlignment="1">
      <alignment horizontal="centerContinuous"/>
      <protection/>
    </xf>
    <xf numFmtId="0" fontId="8" fillId="36" borderId="0" xfId="53" applyFont="1" applyFill="1" applyBorder="1" applyAlignment="1">
      <alignment horizontal="centerContinuous"/>
      <protection/>
    </xf>
    <xf numFmtId="0" fontId="31" fillId="36" borderId="0" xfId="53" applyFont="1" applyFill="1" applyBorder="1" applyAlignment="1">
      <alignment horizontal="centerContinuous" vertical="center"/>
      <protection/>
    </xf>
    <xf numFmtId="0" fontId="31" fillId="36" borderId="69" xfId="53" applyFont="1" applyFill="1" applyBorder="1" applyAlignment="1">
      <alignment horizontal="centerContinuous" vertical="center"/>
      <protection/>
    </xf>
    <xf numFmtId="0" fontId="8" fillId="35" borderId="62" xfId="53" applyFont="1" applyFill="1" applyBorder="1" applyAlignment="1">
      <alignment horizontal="centerContinuous"/>
      <protection/>
    </xf>
    <xf numFmtId="0" fontId="8" fillId="35" borderId="41" xfId="53" applyFont="1" applyFill="1" applyBorder="1" applyAlignment="1">
      <alignment horizontal="centerContinuous"/>
      <protection/>
    </xf>
    <xf numFmtId="0" fontId="31" fillId="35" borderId="41" xfId="53" applyFont="1" applyFill="1" applyBorder="1" applyAlignment="1">
      <alignment horizontal="centerContinuous" vertical="center"/>
      <protection/>
    </xf>
    <xf numFmtId="0" fontId="31" fillId="35" borderId="28" xfId="53" applyFont="1" applyFill="1" applyBorder="1" applyAlignment="1">
      <alignment horizontal="centerContinuous" vertical="center"/>
      <protection/>
    </xf>
    <xf numFmtId="0" fontId="3" fillId="0" borderId="35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13" fillId="0" borderId="63" xfId="53" applyFont="1" applyBorder="1" applyAlignment="1">
      <alignment horizontal="center" vertical="center" wrapText="1"/>
      <protection/>
    </xf>
    <xf numFmtId="0" fontId="13" fillId="0" borderId="34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vertical="center"/>
      <protection/>
    </xf>
    <xf numFmtId="4" fontId="4" fillId="0" borderId="11" xfId="53" applyNumberFormat="1" applyFont="1" applyBorder="1" applyAlignment="1">
      <alignment horizontal="right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right" vertical="center"/>
      <protection/>
    </xf>
    <xf numFmtId="10" fontId="4" fillId="0" borderId="12" xfId="53" applyNumberFormat="1" applyFont="1" applyBorder="1" applyAlignment="1">
      <alignment horizontal="center" vertical="center"/>
      <protection/>
    </xf>
    <xf numFmtId="10" fontId="4" fillId="0" borderId="12" xfId="53" applyNumberFormat="1" applyFont="1" applyFill="1" applyBorder="1" applyAlignment="1">
      <alignment horizontal="center" vertical="center"/>
      <protection/>
    </xf>
    <xf numFmtId="4" fontId="4" fillId="0" borderId="80" xfId="53" applyNumberFormat="1" applyFont="1" applyBorder="1" applyAlignment="1">
      <alignment horizontal="right" vertical="center"/>
      <protection/>
    </xf>
    <xf numFmtId="0" fontId="6" fillId="0" borderId="10" xfId="53" applyFont="1" applyBorder="1" applyAlignment="1">
      <alignment vertical="center"/>
      <protection/>
    </xf>
    <xf numFmtId="4" fontId="6" fillId="0" borderId="10" xfId="53" applyNumberFormat="1" applyFont="1" applyBorder="1" applyAlignment="1">
      <alignment horizontal="right" vertical="center"/>
      <protection/>
    </xf>
    <xf numFmtId="10" fontId="6" fillId="0" borderId="1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horizontal="right" vertical="center"/>
      <protection/>
    </xf>
    <xf numFmtId="9" fontId="4" fillId="0" borderId="0" xfId="53" applyNumberFormat="1" applyFont="1" applyBorder="1" applyAlignment="1">
      <alignment horizontal="center" vertical="center"/>
      <protection/>
    </xf>
    <xf numFmtId="9" fontId="4" fillId="0" borderId="11" xfId="53" applyNumberFormat="1" applyFont="1" applyBorder="1" applyAlignment="1">
      <alignment horizontal="center" vertical="center"/>
      <protection/>
    </xf>
    <xf numFmtId="0" fontId="4" fillId="0" borderId="56" xfId="53" applyFont="1" applyBorder="1" applyAlignment="1">
      <alignment vertical="center"/>
      <protection/>
    </xf>
    <xf numFmtId="9" fontId="4" fillId="0" borderId="12" xfId="53" applyNumberFormat="1" applyFont="1" applyBorder="1" applyAlignment="1">
      <alignment horizontal="center" vertical="center"/>
      <protection/>
    </xf>
    <xf numFmtId="0" fontId="4" fillId="0" borderId="81" xfId="53" applyFont="1" applyBorder="1" applyAlignment="1">
      <alignment vertical="center"/>
      <protection/>
    </xf>
    <xf numFmtId="9" fontId="4" fillId="0" borderId="8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justify" vertical="top" wrapText="1"/>
      <protection/>
    </xf>
    <xf numFmtId="0" fontId="4" fillId="0" borderId="5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21" fillId="0" borderId="0" xfId="53" applyFont="1">
      <alignment/>
      <protection/>
    </xf>
    <xf numFmtId="4" fontId="19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3" fontId="6" fillId="0" borderId="0" xfId="53" applyNumberFormat="1" applyFont="1" applyAlignment="1">
      <alignment horizontal="center" vertical="center" wrapText="1"/>
      <protection/>
    </xf>
    <xf numFmtId="4" fontId="0" fillId="0" borderId="11" xfId="53" applyNumberFormat="1" applyFont="1" applyBorder="1" applyAlignment="1">
      <alignment horizontal="right" vertical="center" wrapText="1"/>
      <protection/>
    </xf>
    <xf numFmtId="4" fontId="0" fillId="0" borderId="12" xfId="53" applyNumberFormat="1" applyFont="1" applyBorder="1" applyAlignment="1">
      <alignment horizontal="right" vertical="center" wrapText="1"/>
      <protection/>
    </xf>
    <xf numFmtId="0" fontId="3" fillId="35" borderId="48" xfId="53" applyFont="1" applyFill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right" vertical="center" wrapText="1"/>
      <protection/>
    </xf>
    <xf numFmtId="0" fontId="19" fillId="0" borderId="10" xfId="53" applyFont="1" applyBorder="1">
      <alignment/>
      <protection/>
    </xf>
    <xf numFmtId="4" fontId="19" fillId="0" borderId="10" xfId="53" applyNumberFormat="1" applyFont="1" applyFill="1" applyBorder="1">
      <alignment/>
      <protection/>
    </xf>
    <xf numFmtId="0" fontId="21" fillId="0" borderId="10" xfId="53" applyFont="1" applyBorder="1">
      <alignment/>
      <protection/>
    </xf>
    <xf numFmtId="4" fontId="21" fillId="0" borderId="10" xfId="53" applyNumberFormat="1" applyFont="1" applyBorder="1">
      <alignment/>
      <protection/>
    </xf>
    <xf numFmtId="0" fontId="3" fillId="0" borderId="0" xfId="53" applyFont="1" applyFill="1" applyBorder="1">
      <alignment/>
      <protection/>
    </xf>
    <xf numFmtId="0" fontId="2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3" fontId="0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10" fontId="0" fillId="0" borderId="10" xfId="62" applyNumberFormat="1" applyFont="1" applyBorder="1" applyAlignment="1">
      <alignment horizontal="center" vertical="center"/>
    </xf>
    <xf numFmtId="0" fontId="21" fillId="0" borderId="0" xfId="53" applyFont="1" applyAlignment="1">
      <alignment horizontal="justify"/>
      <protection/>
    </xf>
    <xf numFmtId="204" fontId="19" fillId="0" borderId="10" xfId="49" applyNumberFormat="1" applyFont="1" applyBorder="1" applyAlignment="1">
      <alignment/>
    </xf>
    <xf numFmtId="204" fontId="21" fillId="0" borderId="10" xfId="53" applyNumberFormat="1" applyFont="1" applyBorder="1">
      <alignment/>
      <protection/>
    </xf>
    <xf numFmtId="0" fontId="35" fillId="0" borderId="13" xfId="53" applyFont="1" applyBorder="1" applyAlignment="1">
      <alignment horizontal="center" vertical="top" wrapText="1"/>
      <protection/>
    </xf>
    <xf numFmtId="0" fontId="8" fillId="0" borderId="58" xfId="53" applyFont="1" applyBorder="1">
      <alignment/>
      <protection/>
    </xf>
    <xf numFmtId="4" fontId="27" fillId="0" borderId="35" xfId="53" applyNumberFormat="1" applyFont="1" applyBorder="1">
      <alignment/>
      <protection/>
    </xf>
    <xf numFmtId="0" fontId="35" fillId="0" borderId="65" xfId="53" applyFont="1" applyBorder="1" applyAlignment="1">
      <alignment horizontal="center" vertical="top" wrapText="1"/>
      <protection/>
    </xf>
    <xf numFmtId="0" fontId="27" fillId="0" borderId="48" xfId="53" applyFont="1" applyBorder="1">
      <alignment/>
      <protection/>
    </xf>
    <xf numFmtId="0" fontId="36" fillId="0" borderId="10" xfId="53" applyFont="1" applyBorder="1" applyAlignment="1">
      <alignment horizontal="center" vertical="top" wrapText="1"/>
      <protection/>
    </xf>
    <xf numFmtId="10" fontId="19" fillId="0" borderId="10" xfId="62" applyNumberFormat="1" applyFont="1" applyBorder="1" applyAlignment="1">
      <alignment horizontal="center" vertical="center" wrapText="1"/>
    </xf>
    <xf numFmtId="0" fontId="22" fillId="0" borderId="48" xfId="53" applyFont="1" applyBorder="1" applyAlignment="1">
      <alignment horizontal="center"/>
      <protection/>
    </xf>
    <xf numFmtId="4" fontId="2" fillId="0" borderId="0" xfId="53" applyNumberFormat="1" applyFont="1" applyBorder="1">
      <alignment/>
      <protection/>
    </xf>
    <xf numFmtId="4" fontId="2" fillId="0" borderId="68" xfId="53" applyNumberFormat="1" applyFont="1" applyBorder="1">
      <alignment/>
      <protection/>
    </xf>
    <xf numFmtId="4" fontId="3" fillId="0" borderId="70" xfId="53" applyNumberFormat="1" applyFont="1" applyFill="1" applyBorder="1">
      <alignment/>
      <protection/>
    </xf>
    <xf numFmtId="4" fontId="2" fillId="0" borderId="71" xfId="53" applyNumberFormat="1" applyFont="1" applyBorder="1">
      <alignment/>
      <protection/>
    </xf>
    <xf numFmtId="4" fontId="6" fillId="0" borderId="72" xfId="53" applyNumberFormat="1" applyFont="1" applyBorder="1">
      <alignment/>
      <protection/>
    </xf>
    <xf numFmtId="4" fontId="6" fillId="0" borderId="69" xfId="53" applyNumberFormat="1" applyFont="1" applyBorder="1">
      <alignment/>
      <protection/>
    </xf>
    <xf numFmtId="0" fontId="27" fillId="0" borderId="62" xfId="53" applyFont="1" applyBorder="1">
      <alignment/>
      <protection/>
    </xf>
    <xf numFmtId="4" fontId="27" fillId="0" borderId="41" xfId="53" applyNumberFormat="1" applyFont="1" applyBorder="1">
      <alignment/>
      <protection/>
    </xf>
    <xf numFmtId="4" fontId="27" fillId="0" borderId="28" xfId="53" applyNumberFormat="1" applyFont="1" applyBorder="1">
      <alignment/>
      <protection/>
    </xf>
    <xf numFmtId="0" fontId="21" fillId="0" borderId="10" xfId="53" applyFont="1" applyBorder="1" applyAlignment="1">
      <alignment horizontal="center" wrapText="1"/>
      <protection/>
    </xf>
    <xf numFmtId="0" fontId="19" fillId="0" borderId="10" xfId="53" applyFont="1" applyBorder="1" applyAlignment="1">
      <alignment horizontal="justify" vertical="center" wrapText="1"/>
      <protection/>
    </xf>
    <xf numFmtId="0" fontId="21" fillId="0" borderId="10" xfId="53" applyFont="1" applyFill="1" applyBorder="1" applyAlignment="1">
      <alignment horizontal="justify" vertical="center" wrapText="1"/>
      <protection/>
    </xf>
    <xf numFmtId="0" fontId="1" fillId="0" borderId="10" xfId="53" applyFont="1" applyBorder="1" applyAlignment="1">
      <alignment horizontal="center"/>
      <protection/>
    </xf>
    <xf numFmtId="4" fontId="0" fillId="0" borderId="10" xfId="0" applyNumberFormat="1" applyFont="1" applyBorder="1" applyAlignment="1">
      <alignment/>
    </xf>
    <xf numFmtId="4" fontId="19" fillId="0" borderId="10" xfId="53" applyNumberFormat="1" applyFont="1" applyBorder="1" applyAlignment="1">
      <alignment horizontal="center" wrapText="1"/>
      <protection/>
    </xf>
    <xf numFmtId="0" fontId="38" fillId="0" borderId="0" xfId="54" applyFont="1">
      <alignment/>
      <protection/>
    </xf>
    <xf numFmtId="0" fontId="20" fillId="0" borderId="0" xfId="54">
      <alignment/>
      <protection/>
    </xf>
    <xf numFmtId="0" fontId="39" fillId="0" borderId="0" xfId="54" applyFont="1" applyAlignment="1">
      <alignment vertical="center"/>
      <protection/>
    </xf>
    <xf numFmtId="4" fontId="20" fillId="0" borderId="0" xfId="54" applyNumberFormat="1">
      <alignment/>
      <protection/>
    </xf>
    <xf numFmtId="0" fontId="41" fillId="0" borderId="0" xfId="54" applyFont="1" applyAlignment="1">
      <alignment horizontal="justify"/>
      <protection/>
    </xf>
    <xf numFmtId="43" fontId="40" fillId="0" borderId="0" xfId="48" applyFont="1" applyAlignment="1">
      <alignment horizontal="justify"/>
    </xf>
    <xf numFmtId="0" fontId="42" fillId="0" borderId="0" xfId="54" applyFont="1">
      <alignment/>
      <protection/>
    </xf>
    <xf numFmtId="43" fontId="42" fillId="0" borderId="0" xfId="48" applyFont="1" applyAlignment="1">
      <alignment/>
    </xf>
    <xf numFmtId="43" fontId="20" fillId="0" borderId="0" xfId="54" applyNumberFormat="1">
      <alignment/>
      <protection/>
    </xf>
    <xf numFmtId="0" fontId="3" fillId="0" borderId="0" xfId="54" applyFont="1" applyAlignment="1">
      <alignment vertical="center"/>
      <protection/>
    </xf>
    <xf numFmtId="0" fontId="2" fillId="0" borderId="76" xfId="54" applyFont="1" applyBorder="1" applyAlignment="1">
      <alignment vertical="center"/>
      <protection/>
    </xf>
    <xf numFmtId="0" fontId="4" fillId="0" borderId="82" xfId="54" applyFont="1" applyBorder="1" applyAlignment="1">
      <alignment vertical="center" wrapText="1"/>
      <protection/>
    </xf>
    <xf numFmtId="4" fontId="4" fillId="0" borderId="83" xfId="54" applyNumberFormat="1" applyFont="1" applyBorder="1" applyAlignment="1">
      <alignment horizontal="right" vertical="center"/>
      <protection/>
    </xf>
    <xf numFmtId="4" fontId="4" fillId="0" borderId="84" xfId="54" applyNumberFormat="1" applyFont="1" applyBorder="1" applyAlignment="1">
      <alignment horizontal="right" vertical="center"/>
      <protection/>
    </xf>
    <xf numFmtId="0" fontId="4" fillId="0" borderId="85" xfId="54" applyFont="1" applyBorder="1" applyAlignment="1">
      <alignment vertical="center" wrapText="1"/>
      <protection/>
    </xf>
    <xf numFmtId="4" fontId="4" fillId="0" borderId="50" xfId="54" applyNumberFormat="1" applyFont="1" applyBorder="1" applyAlignment="1">
      <alignment horizontal="right" vertical="center"/>
      <protection/>
    </xf>
    <xf numFmtId="4" fontId="4" fillId="0" borderId="86" xfId="54" applyNumberFormat="1" applyFont="1" applyBorder="1" applyAlignment="1">
      <alignment horizontal="right" vertical="center"/>
      <protection/>
    </xf>
    <xf numFmtId="4" fontId="4" fillId="0" borderId="47" xfId="54" applyNumberFormat="1" applyFont="1" applyBorder="1" applyAlignment="1">
      <alignment horizontal="right" vertical="center"/>
      <protection/>
    </xf>
    <xf numFmtId="0" fontId="2" fillId="0" borderId="0" xfId="54" applyFont="1" applyBorder="1" applyAlignment="1">
      <alignment vertical="center"/>
      <protection/>
    </xf>
    <xf numFmtId="3" fontId="2" fillId="0" borderId="0" xfId="54" applyNumberFormat="1" applyFont="1" applyBorder="1" applyAlignment="1">
      <alignment horizontal="center" vertical="center"/>
      <protection/>
    </xf>
    <xf numFmtId="43" fontId="2" fillId="0" borderId="0" xfId="48" applyFont="1" applyBorder="1" applyAlignment="1">
      <alignment horizontal="center" vertical="center"/>
    </xf>
    <xf numFmtId="0" fontId="2" fillId="0" borderId="0" xfId="54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0" fontId="0" fillId="0" borderId="0" xfId="54" applyFont="1">
      <alignment/>
      <protection/>
    </xf>
    <xf numFmtId="0" fontId="3" fillId="0" borderId="46" xfId="54" applyFont="1" applyBorder="1" applyAlignment="1">
      <alignment vertical="center"/>
      <protection/>
    </xf>
    <xf numFmtId="0" fontId="43" fillId="0" borderId="46" xfId="54" applyFont="1" applyBorder="1" applyAlignment="1">
      <alignment horizontal="right" vertical="center"/>
      <protection/>
    </xf>
    <xf numFmtId="0" fontId="43" fillId="0" borderId="87" xfId="54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3" fontId="3" fillId="0" borderId="0" xfId="54" applyNumberFormat="1" applyFont="1" applyBorder="1" applyAlignment="1">
      <alignment horizontal="center" vertical="center"/>
      <protection/>
    </xf>
    <xf numFmtId="0" fontId="43" fillId="0" borderId="49" xfId="54" applyFont="1" applyBorder="1" applyAlignment="1">
      <alignment horizontal="right" vertical="center"/>
      <protection/>
    </xf>
    <xf numFmtId="0" fontId="3" fillId="0" borderId="49" xfId="54" applyFont="1" applyBorder="1" applyAlignment="1">
      <alignment vertical="center"/>
      <protection/>
    </xf>
    <xf numFmtId="4" fontId="4" fillId="0" borderId="88" xfId="53" applyNumberFormat="1" applyFont="1" applyBorder="1" applyAlignment="1">
      <alignment horizontal="right" vertical="center"/>
      <protection/>
    </xf>
    <xf numFmtId="4" fontId="4" fillId="0" borderId="41" xfId="53" applyNumberFormat="1" applyFont="1" applyBorder="1" applyAlignment="1">
      <alignment horizontal="right" vertical="center"/>
      <protection/>
    </xf>
    <xf numFmtId="0" fontId="3" fillId="0" borderId="64" xfId="53" applyFont="1" applyBorder="1" applyAlignment="1">
      <alignment vertical="center" wrapText="1"/>
      <protection/>
    </xf>
    <xf numFmtId="4" fontId="4" fillId="0" borderId="64" xfId="53" applyNumberFormat="1" applyFont="1" applyFill="1" applyBorder="1" applyAlignment="1">
      <alignment horizontal="right" vertical="center"/>
      <protection/>
    </xf>
    <xf numFmtId="0" fontId="3" fillId="0" borderId="47" xfId="53" applyFont="1" applyBorder="1" applyAlignment="1">
      <alignment vertical="center" wrapText="1"/>
      <protection/>
    </xf>
    <xf numFmtId="4" fontId="4" fillId="0" borderId="47" xfId="53" applyNumberFormat="1" applyFont="1" applyFill="1" applyBorder="1" applyAlignment="1">
      <alignment horizontal="right" vertical="center"/>
      <protection/>
    </xf>
    <xf numFmtId="0" fontId="6" fillId="0" borderId="39" xfId="53" applyFont="1" applyBorder="1" applyAlignment="1">
      <alignment vertical="center" wrapText="1"/>
      <protection/>
    </xf>
    <xf numFmtId="0" fontId="6" fillId="0" borderId="89" xfId="53" applyFont="1" applyBorder="1" applyAlignment="1">
      <alignment horizontal="center" vertical="center" wrapText="1"/>
      <protection/>
    </xf>
    <xf numFmtId="0" fontId="6" fillId="0" borderId="63" xfId="53" applyFont="1" applyBorder="1" applyAlignment="1">
      <alignment horizontal="center" vertical="center" wrapText="1"/>
      <protection/>
    </xf>
    <xf numFmtId="0" fontId="6" fillId="0" borderId="90" xfId="53" applyNumberFormat="1" applyFont="1" applyBorder="1" applyAlignment="1">
      <alignment horizontal="center" vertical="center" wrapText="1"/>
      <protection/>
    </xf>
    <xf numFmtId="0" fontId="35" fillId="0" borderId="0" xfId="53" applyFont="1">
      <alignment/>
      <protection/>
    </xf>
    <xf numFmtId="0" fontId="0" fillId="0" borderId="54" xfId="53" applyFont="1" applyBorder="1" applyAlignment="1">
      <alignment horizontal="left" vertical="center"/>
      <protection/>
    </xf>
    <xf numFmtId="4" fontId="0" fillId="0" borderId="12" xfId="53" applyNumberFormat="1" applyFont="1" applyFill="1" applyBorder="1" applyAlignment="1">
      <alignment horizontal="right" vertical="center" wrapText="1"/>
      <protection/>
    </xf>
    <xf numFmtId="4" fontId="0" fillId="0" borderId="91" xfId="53" applyNumberFormat="1" applyFont="1" applyBorder="1" applyAlignment="1">
      <alignment horizontal="right" vertical="center" wrapText="1"/>
      <protection/>
    </xf>
    <xf numFmtId="4" fontId="85" fillId="0" borderId="10" xfId="53" applyNumberFormat="1" applyBorder="1" applyAlignment="1">
      <alignment horizontal="center"/>
      <protection/>
    </xf>
    <xf numFmtId="10" fontId="17" fillId="0" borderId="10" xfId="62" applyNumberFormat="1" applyFont="1" applyBorder="1" applyAlignment="1">
      <alignment horizontal="center"/>
    </xf>
    <xf numFmtId="4" fontId="3" fillId="35" borderId="69" xfId="53" applyNumberFormat="1" applyFont="1" applyFill="1" applyBorder="1" applyAlignment="1">
      <alignment horizontal="right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34" fillId="0" borderId="0" xfId="53" applyFont="1" applyAlignment="1">
      <alignment/>
      <protection/>
    </xf>
    <xf numFmtId="0" fontId="34" fillId="0" borderId="0" xfId="53" applyFont="1">
      <alignment/>
      <protection/>
    </xf>
    <xf numFmtId="49" fontId="8" fillId="0" borderId="35" xfId="53" applyNumberFormat="1" applyFont="1" applyBorder="1" applyAlignment="1">
      <alignment horizontal="center"/>
      <protection/>
    </xf>
    <xf numFmtId="4" fontId="104" fillId="0" borderId="35" xfId="53" applyNumberFormat="1" applyFont="1" applyBorder="1">
      <alignment/>
      <protection/>
    </xf>
    <xf numFmtId="0" fontId="10" fillId="0" borderId="92" xfId="53" applyFont="1" applyBorder="1" applyAlignment="1">
      <alignment vertical="center"/>
      <protection/>
    </xf>
    <xf numFmtId="0" fontId="104" fillId="0" borderId="48" xfId="53" applyFont="1" applyBorder="1">
      <alignment/>
      <protection/>
    </xf>
    <xf numFmtId="0" fontId="104" fillId="0" borderId="0" xfId="53" applyNumberFormat="1" applyFont="1" applyBorder="1" applyAlignment="1">
      <alignment horizontal="center"/>
      <protection/>
    </xf>
    <xf numFmtId="4" fontId="104" fillId="0" borderId="68" xfId="53" applyNumberFormat="1" applyFont="1" applyBorder="1">
      <alignment/>
      <protection/>
    </xf>
    <xf numFmtId="4" fontId="104" fillId="0" borderId="69" xfId="53" applyNumberFormat="1" applyFont="1" applyBorder="1">
      <alignment/>
      <protection/>
    </xf>
    <xf numFmtId="4" fontId="104" fillId="0" borderId="70" xfId="53" applyNumberFormat="1" applyFont="1" applyBorder="1">
      <alignment/>
      <protection/>
    </xf>
    <xf numFmtId="49" fontId="104" fillId="0" borderId="0" xfId="53" applyNumberFormat="1" applyFont="1" applyBorder="1" applyAlignment="1">
      <alignment horizontal="center"/>
      <protection/>
    </xf>
    <xf numFmtId="4" fontId="104" fillId="0" borderId="0" xfId="53" applyNumberFormat="1" applyFont="1" applyBorder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0" fontId="10" fillId="0" borderId="93" xfId="53" applyFont="1" applyBorder="1" applyAlignment="1">
      <alignment vertical="center"/>
      <protection/>
    </xf>
    <xf numFmtId="4" fontId="104" fillId="0" borderId="70" xfId="53" applyNumberFormat="1" applyFont="1" applyFill="1" applyBorder="1">
      <alignment/>
      <protection/>
    </xf>
    <xf numFmtId="0" fontId="18" fillId="0" borderId="0" xfId="53" applyFont="1" applyAlignment="1">
      <alignment/>
      <protection/>
    </xf>
    <xf numFmtId="0" fontId="104" fillId="0" borderId="0" xfId="53" applyFont="1" applyFill="1" applyAlignment="1">
      <alignment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2" fillId="0" borderId="58" xfId="53" applyFont="1" applyFill="1" applyBorder="1" applyAlignment="1">
      <alignment horizontal="centerContinuous" vertical="center"/>
      <protection/>
    </xf>
    <xf numFmtId="0" fontId="22" fillId="0" borderId="35" xfId="53" applyFont="1" applyFill="1" applyBorder="1" applyAlignment="1">
      <alignment vertical="center"/>
      <protection/>
    </xf>
    <xf numFmtId="204" fontId="22" fillId="0" borderId="44" xfId="47" applyNumberFormat="1" applyFont="1" applyFill="1" applyBorder="1" applyAlignment="1">
      <alignment horizontal="right" vertical="center"/>
    </xf>
    <xf numFmtId="204" fontId="22" fillId="0" borderId="44" xfId="47" applyNumberFormat="1" applyFont="1" applyFill="1" applyBorder="1" applyAlignment="1">
      <alignment vertical="center"/>
    </xf>
    <xf numFmtId="0" fontId="22" fillId="0" borderId="29" xfId="53" applyFont="1" applyFill="1" applyBorder="1" applyAlignment="1">
      <alignment horizontal="centerContinuous" vertical="center"/>
      <protection/>
    </xf>
    <xf numFmtId="0" fontId="22" fillId="0" borderId="49" xfId="53" applyFont="1" applyFill="1" applyBorder="1" applyAlignment="1">
      <alignment vertical="center"/>
      <protection/>
    </xf>
    <xf numFmtId="204" fontId="22" fillId="0" borderId="65" xfId="47" applyNumberFormat="1" applyFont="1" applyFill="1" applyBorder="1" applyAlignment="1">
      <alignment horizontal="right" vertical="center"/>
    </xf>
    <xf numFmtId="204" fontId="22" fillId="0" borderId="65" xfId="47" applyNumberFormat="1" applyFont="1" applyFill="1" applyBorder="1" applyAlignment="1">
      <alignment vertical="center"/>
    </xf>
    <xf numFmtId="0" fontId="23" fillId="0" borderId="48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vertical="center"/>
      <protection/>
    </xf>
    <xf numFmtId="204" fontId="8" fillId="0" borderId="65" xfId="47" applyNumberFormat="1" applyFont="1" applyFill="1" applyBorder="1" applyAlignment="1">
      <alignment vertical="center"/>
    </xf>
    <xf numFmtId="204" fontId="22" fillId="0" borderId="64" xfId="47" applyNumberFormat="1" applyFont="1" applyFill="1" applyBorder="1" applyAlignment="1">
      <alignment vertical="center"/>
    </xf>
    <xf numFmtId="204" fontId="22" fillId="0" borderId="64" xfId="47" applyNumberFormat="1" applyFont="1" applyFill="1" applyBorder="1" applyAlignment="1">
      <alignment horizontal="right" vertical="center"/>
    </xf>
    <xf numFmtId="0" fontId="23" fillId="0" borderId="14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vertical="center"/>
      <protection/>
    </xf>
    <xf numFmtId="204" fontId="8" fillId="0" borderId="32" xfId="47" applyNumberFormat="1" applyFont="1" applyFill="1" applyBorder="1" applyAlignment="1">
      <alignment vertical="center"/>
    </xf>
    <xf numFmtId="204" fontId="8" fillId="0" borderId="10" xfId="47" applyNumberFormat="1" applyFont="1" applyFill="1" applyBorder="1" applyAlignment="1">
      <alignment vertical="center"/>
    </xf>
    <xf numFmtId="204" fontId="85" fillId="0" borderId="0" xfId="53" applyNumberFormat="1">
      <alignment/>
      <protection/>
    </xf>
    <xf numFmtId="4" fontId="0" fillId="0" borderId="10" xfId="0" applyNumberFormat="1" applyFont="1" applyBorder="1" applyAlignment="1">
      <alignment horizontal="justify" vertical="top" wrapText="1"/>
    </xf>
    <xf numFmtId="0" fontId="0" fillId="0" borderId="10" xfId="53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justify" vertical="top" wrapText="1"/>
    </xf>
    <xf numFmtId="4" fontId="0" fillId="0" borderId="31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39" borderId="10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 quotePrefix="1">
      <alignment horizontal="left" vertical="top" wrapText="1" indent="1"/>
    </xf>
    <xf numFmtId="4" fontId="0" fillId="39" borderId="10" xfId="0" applyNumberFormat="1" applyFont="1" applyFill="1" applyBorder="1" applyAlignment="1">
      <alignment horizontal="justify" vertical="top" wrapText="1"/>
    </xf>
    <xf numFmtId="0" fontId="45" fillId="0" borderId="0" xfId="53" applyFont="1">
      <alignment/>
      <protection/>
    </xf>
    <xf numFmtId="0" fontId="25" fillId="0" borderId="58" xfId="53" applyFont="1" applyBorder="1" applyAlignment="1">
      <alignment horizontal="center" vertical="center"/>
      <protection/>
    </xf>
    <xf numFmtId="14" fontId="6" fillId="0" borderId="13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25" fillId="40" borderId="48" xfId="53" applyFont="1" applyFill="1" applyBorder="1" applyAlignment="1">
      <alignment vertical="center"/>
      <protection/>
    </xf>
    <xf numFmtId="14" fontId="3" fillId="40" borderId="0" xfId="53" applyNumberFormat="1" applyFont="1" applyFill="1" applyBorder="1" applyAlignment="1">
      <alignment horizontal="center" vertical="center"/>
      <protection/>
    </xf>
    <xf numFmtId="0" fontId="2" fillId="40" borderId="69" xfId="53" applyFont="1" applyFill="1" applyBorder="1" applyAlignment="1">
      <alignment horizontal="center" vertical="center"/>
      <protection/>
    </xf>
    <xf numFmtId="0" fontId="4" fillId="0" borderId="58" xfId="53" applyFont="1" applyBorder="1" applyAlignment="1">
      <alignment vertical="center"/>
      <protection/>
    </xf>
    <xf numFmtId="0" fontId="4" fillId="0" borderId="29" xfId="53" applyFont="1" applyBorder="1" applyAlignment="1">
      <alignment vertical="center"/>
      <protection/>
    </xf>
    <xf numFmtId="0" fontId="9" fillId="0" borderId="58" xfId="53" applyFont="1" applyBorder="1" applyAlignment="1">
      <alignment vertical="center"/>
      <protection/>
    </xf>
    <xf numFmtId="4" fontId="9" fillId="0" borderId="10" xfId="53" applyNumberFormat="1" applyFont="1" applyBorder="1" applyAlignment="1">
      <alignment horizontal="right" vertical="center"/>
      <protection/>
    </xf>
    <xf numFmtId="4" fontId="4" fillId="0" borderId="50" xfId="53" applyNumberFormat="1" applyFont="1" applyFill="1" applyBorder="1" applyAlignment="1">
      <alignment horizontal="right" vertical="center"/>
      <protection/>
    </xf>
    <xf numFmtId="0" fontId="5" fillId="40" borderId="14" xfId="53" applyFont="1" applyFill="1" applyBorder="1" applyAlignment="1">
      <alignment vertical="center"/>
      <protection/>
    </xf>
    <xf numFmtId="4" fontId="5" fillId="40" borderId="38" xfId="53" applyNumberFormat="1" applyFont="1" applyFill="1" applyBorder="1" applyAlignment="1">
      <alignment horizontal="right" vertical="center"/>
      <protection/>
    </xf>
    <xf numFmtId="0" fontId="13" fillId="0" borderId="39" xfId="53" applyFont="1" applyBorder="1" applyAlignment="1">
      <alignment vertical="center"/>
      <protection/>
    </xf>
    <xf numFmtId="4" fontId="5" fillId="0" borderId="94" xfId="53" applyNumberFormat="1" applyFont="1" applyBorder="1" applyAlignment="1">
      <alignment horizontal="right" vertical="center"/>
      <protection/>
    </xf>
    <xf numFmtId="4" fontId="9" fillId="0" borderId="36" xfId="53" applyNumberFormat="1" applyFont="1" applyBorder="1" applyAlignment="1">
      <alignment horizontal="right" vertical="center"/>
      <protection/>
    </xf>
    <xf numFmtId="4" fontId="9" fillId="0" borderId="37" xfId="53" applyNumberFormat="1" applyFont="1" applyBorder="1" applyAlignment="1">
      <alignment horizontal="right" vertical="center"/>
      <protection/>
    </xf>
    <xf numFmtId="4" fontId="9" fillId="0" borderId="95" xfId="53" applyNumberFormat="1" applyFont="1" applyBorder="1" applyAlignment="1">
      <alignment horizontal="right" vertical="center"/>
      <protection/>
    </xf>
    <xf numFmtId="0" fontId="13" fillId="40" borderId="48" xfId="53" applyFont="1" applyFill="1" applyBorder="1" applyAlignment="1">
      <alignment vertical="center"/>
      <protection/>
    </xf>
    <xf numFmtId="4" fontId="4" fillId="40" borderId="0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Border="1" applyAlignment="1">
      <alignment horizontal="right" vertical="center"/>
      <protection/>
    </xf>
    <xf numFmtId="4" fontId="9" fillId="0" borderId="44" xfId="53" applyNumberFormat="1" applyFont="1" applyBorder="1" applyAlignment="1">
      <alignment horizontal="right" vertical="center"/>
      <protection/>
    </xf>
    <xf numFmtId="0" fontId="4" fillId="0" borderId="58" xfId="53" applyFont="1" applyBorder="1" applyAlignment="1">
      <alignment horizontal="left" vertical="center"/>
      <protection/>
    </xf>
    <xf numFmtId="0" fontId="4" fillId="0" borderId="29" xfId="53" applyFont="1" applyBorder="1" applyAlignment="1">
      <alignment horizontal="left" vertical="center"/>
      <protection/>
    </xf>
    <xf numFmtId="4" fontId="9" fillId="0" borderId="50" xfId="53" applyNumberFormat="1" applyFont="1" applyBorder="1" applyAlignment="1">
      <alignment horizontal="right" vertical="center"/>
      <protection/>
    </xf>
    <xf numFmtId="4" fontId="9" fillId="0" borderId="65" xfId="53" applyNumberFormat="1" applyFont="1" applyBorder="1" applyAlignment="1">
      <alignment horizontal="right" vertical="center"/>
      <protection/>
    </xf>
    <xf numFmtId="0" fontId="5" fillId="40" borderId="62" xfId="53" applyFont="1" applyFill="1" applyBorder="1" applyAlignment="1">
      <alignment vertical="center"/>
      <protection/>
    </xf>
    <xf numFmtId="0" fontId="13" fillId="0" borderId="58" xfId="53" applyFont="1" applyBorder="1" applyAlignment="1">
      <alignment vertical="center"/>
      <protection/>
    </xf>
    <xf numFmtId="4" fontId="5" fillId="0" borderId="63" xfId="53" applyNumberFormat="1" applyFont="1" applyBorder="1" applyAlignment="1">
      <alignment horizontal="right" vertical="center"/>
      <protection/>
    </xf>
    <xf numFmtId="0" fontId="13" fillId="0" borderId="79" xfId="53" applyFont="1" applyBorder="1" applyAlignment="1">
      <alignment vertical="center"/>
      <protection/>
    </xf>
    <xf numFmtId="0" fontId="13" fillId="0" borderId="33" xfId="53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center" vertical="top" wrapText="1"/>
      <protection/>
    </xf>
    <xf numFmtId="4" fontId="0" fillId="0" borderId="10" xfId="53" applyNumberFormat="1" applyFont="1" applyBorder="1" applyAlignment="1">
      <alignment horizontal="center" vertical="top" wrapText="1"/>
      <protection/>
    </xf>
    <xf numFmtId="4" fontId="105" fillId="0" borderId="10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justify"/>
      <protection/>
    </xf>
    <xf numFmtId="4" fontId="19" fillId="0" borderId="10" xfId="53" applyNumberFormat="1" applyFont="1" applyBorder="1" applyAlignment="1">
      <alignment horizontal="right" vertical="top" wrapText="1"/>
      <protection/>
    </xf>
    <xf numFmtId="0" fontId="104" fillId="0" borderId="10" xfId="53" applyFont="1" applyBorder="1">
      <alignment/>
      <protection/>
    </xf>
    <xf numFmtId="4" fontId="104" fillId="0" borderId="10" xfId="53" applyNumberFormat="1" applyFont="1" applyBorder="1" applyAlignment="1">
      <alignment horizontal="right"/>
      <protection/>
    </xf>
    <xf numFmtId="0" fontId="105" fillId="0" borderId="10" xfId="53" applyFont="1" applyBorder="1" applyAlignment="1">
      <alignment horizontal="center"/>
      <protection/>
    </xf>
    <xf numFmtId="4" fontId="105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horizontal="right" vertical="top" wrapText="1"/>
      <protection/>
    </xf>
    <xf numFmtId="4" fontId="104" fillId="0" borderId="0" xfId="53" applyNumberFormat="1" applyFont="1" applyAlignment="1">
      <alignment horizontal="right"/>
      <protection/>
    </xf>
    <xf numFmtId="0" fontId="8" fillId="33" borderId="14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2" xfId="0" applyFill="1" applyBorder="1" applyAlignment="1">
      <alignment/>
    </xf>
    <xf numFmtId="10" fontId="9" fillId="0" borderId="66" xfId="60" applyNumberFormat="1" applyFont="1" applyBorder="1" applyAlignment="1">
      <alignment vertical="center"/>
    </xf>
    <xf numFmtId="10" fontId="4" fillId="0" borderId="12" xfId="60" applyNumberFormat="1" applyFont="1" applyBorder="1" applyAlignment="1">
      <alignment horizontal="center" vertical="center"/>
    </xf>
    <xf numFmtId="10" fontId="4" fillId="0" borderId="80" xfId="60" applyNumberFormat="1" applyFont="1" applyBorder="1" applyAlignment="1">
      <alignment horizontal="center" vertical="center"/>
    </xf>
    <xf numFmtId="10" fontId="4" fillId="0" borderId="63" xfId="6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Continuous" vertical="center"/>
    </xf>
    <xf numFmtId="10" fontId="4" fillId="0" borderId="50" xfId="0" applyNumberFormat="1" applyFont="1" applyBorder="1" applyAlignment="1">
      <alignment horizontal="centerContinuous" vertical="center"/>
    </xf>
    <xf numFmtId="10" fontId="4" fillId="0" borderId="52" xfId="0" applyNumberFormat="1" applyFont="1" applyBorder="1" applyAlignment="1">
      <alignment horizontal="centerContinuous" vertical="center"/>
    </xf>
    <xf numFmtId="10" fontId="9" fillId="0" borderId="96" xfId="0" applyNumberFormat="1" applyFont="1" applyBorder="1" applyAlignment="1">
      <alignment horizontal="centerContinuous" vertical="center"/>
    </xf>
    <xf numFmtId="0" fontId="101" fillId="33" borderId="0" xfId="53" applyFont="1" applyFill="1">
      <alignment/>
      <protection/>
    </xf>
    <xf numFmtId="4" fontId="101" fillId="33" borderId="0" xfId="53" applyNumberFormat="1" applyFont="1" applyFill="1">
      <alignment/>
      <protection/>
    </xf>
    <xf numFmtId="10" fontId="3" fillId="39" borderId="24" xfId="60" applyNumberFormat="1" applyFont="1" applyFill="1" applyBorder="1" applyAlignment="1">
      <alignment horizontal="center" vertical="center"/>
    </xf>
    <xf numFmtId="0" fontId="108" fillId="33" borderId="0" xfId="53" applyFont="1" applyFill="1">
      <alignment/>
      <protection/>
    </xf>
    <xf numFmtId="4" fontId="108" fillId="33" borderId="0" xfId="53" applyNumberFormat="1" applyFont="1" applyFill="1">
      <alignment/>
      <protection/>
    </xf>
    <xf numFmtId="10" fontId="3" fillId="39" borderId="97" xfId="60" applyNumberFormat="1" applyFont="1" applyFill="1" applyBorder="1" applyAlignment="1">
      <alignment horizontal="center" vertical="center"/>
    </xf>
    <xf numFmtId="0" fontId="11" fillId="0" borderId="98" xfId="0" applyFont="1" applyBorder="1" applyAlignment="1">
      <alignment vertical="top" wrapText="1"/>
    </xf>
    <xf numFmtId="4" fontId="3" fillId="0" borderId="94" xfId="53" applyNumberFormat="1" applyFont="1" applyFill="1" applyBorder="1" applyAlignment="1">
      <alignment horizontal="right" vertical="center"/>
      <protection/>
    </xf>
    <xf numFmtId="0" fontId="19" fillId="0" borderId="10" xfId="53" applyFont="1" applyBorder="1" applyAlignment="1">
      <alignment horizontal="justify" wrapText="1"/>
      <protection/>
    </xf>
    <xf numFmtId="10" fontId="19" fillId="0" borderId="10" xfId="60" applyNumberFormat="1" applyFont="1" applyBorder="1" applyAlignment="1">
      <alignment horizontal="center" wrapText="1"/>
    </xf>
    <xf numFmtId="0" fontId="0" fillId="0" borderId="73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75" xfId="0" applyFont="1" applyBorder="1" applyAlignment="1">
      <alignment vertical="top" wrapText="1"/>
    </xf>
    <xf numFmtId="0" fontId="0" fillId="0" borderId="98" xfId="0" applyFont="1" applyBorder="1" applyAlignment="1">
      <alignment vertical="top" wrapText="1"/>
    </xf>
    <xf numFmtId="0" fontId="0" fillId="0" borderId="76" xfId="0" applyFont="1" applyBorder="1" applyAlignment="1">
      <alignment vertical="top" wrapText="1"/>
    </xf>
    <xf numFmtId="0" fontId="107" fillId="0" borderId="10" xfId="53" applyFont="1" applyBorder="1">
      <alignment/>
      <protection/>
    </xf>
    <xf numFmtId="0" fontId="19" fillId="0" borderId="10" xfId="53" applyFont="1" applyBorder="1" applyAlignment="1">
      <alignment horizontal="center"/>
      <protection/>
    </xf>
    <xf numFmtId="10" fontId="19" fillId="0" borderId="10" xfId="60" applyNumberFormat="1" applyFont="1" applyBorder="1" applyAlignment="1">
      <alignment horizontal="center" vertical="center" wrapText="1"/>
    </xf>
    <xf numFmtId="0" fontId="101" fillId="0" borderId="0" xfId="53" applyFont="1">
      <alignment/>
      <protection/>
    </xf>
    <xf numFmtId="0" fontId="19" fillId="0" borderId="99" xfId="53" applyFont="1" applyBorder="1">
      <alignment/>
      <protection/>
    </xf>
    <xf numFmtId="4" fontId="19" fillId="0" borderId="100" xfId="53" applyNumberFormat="1" applyFont="1" applyFill="1" applyBorder="1">
      <alignment/>
      <protection/>
    </xf>
    <xf numFmtId="0" fontId="8" fillId="0" borderId="101" xfId="53" applyFont="1" applyBorder="1" applyAlignment="1">
      <alignment horizontal="center"/>
      <protection/>
    </xf>
    <xf numFmtId="4" fontId="8" fillId="0" borderId="100" xfId="53" applyNumberFormat="1" applyFont="1" applyFill="1" applyBorder="1">
      <alignment/>
      <protection/>
    </xf>
    <xf numFmtId="4" fontId="19" fillId="0" borderId="102" xfId="53" applyNumberFormat="1" applyFont="1" applyFill="1" applyBorder="1">
      <alignment/>
      <protection/>
    </xf>
    <xf numFmtId="0" fontId="19" fillId="0" borderId="103" xfId="53" applyFont="1" applyBorder="1">
      <alignment/>
      <protection/>
    </xf>
    <xf numFmtId="4" fontId="19" fillId="0" borderId="104" xfId="53" applyNumberFormat="1" applyFont="1" applyFill="1" applyBorder="1">
      <alignment/>
      <protection/>
    </xf>
    <xf numFmtId="0" fontId="8" fillId="0" borderId="105" xfId="53" applyFont="1" applyBorder="1" applyAlignment="1">
      <alignment horizontal="center"/>
      <protection/>
    </xf>
    <xf numFmtId="4" fontId="8" fillId="0" borderId="106" xfId="53" applyNumberFormat="1" applyFont="1" applyFill="1" applyBorder="1">
      <alignment/>
      <protection/>
    </xf>
    <xf numFmtId="4" fontId="21" fillId="0" borderId="10" xfId="53" applyNumberFormat="1" applyFont="1" applyBorder="1" applyAlignment="1">
      <alignment horizontal="center" wrapText="1"/>
      <protection/>
    </xf>
    <xf numFmtId="3" fontId="0" fillId="0" borderId="10" xfId="53" applyNumberFormat="1" applyFont="1" applyFill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/>
      <protection/>
    </xf>
    <xf numFmtId="10" fontId="0" fillId="0" borderId="10" xfId="62" applyNumberFormat="1" applyFont="1" applyBorder="1" applyAlignment="1">
      <alignment horizontal="center"/>
    </xf>
    <xf numFmtId="0" fontId="6" fillId="33" borderId="63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0" borderId="38" xfId="0" applyFont="1" applyBorder="1" applyAlignment="1">
      <alignment horizontal="centerContinuous" vertical="center"/>
    </xf>
    <xf numFmtId="0" fontId="46" fillId="0" borderId="32" xfId="0" applyFont="1" applyBorder="1" applyAlignment="1">
      <alignment horizontal="centerContinuous" vertical="center"/>
    </xf>
    <xf numFmtId="0" fontId="47" fillId="36" borderId="14" xfId="0" applyFont="1" applyFill="1" applyBorder="1" applyAlignment="1">
      <alignment vertical="center"/>
    </xf>
    <xf numFmtId="0" fontId="47" fillId="36" borderId="38" xfId="0" applyFont="1" applyFill="1" applyBorder="1" applyAlignment="1">
      <alignment horizontal="left" vertical="center" wrapText="1"/>
    </xf>
    <xf numFmtId="4" fontId="47" fillId="36" borderId="38" xfId="0" applyNumberFormat="1" applyFont="1" applyFill="1" applyBorder="1" applyAlignment="1">
      <alignment vertical="center"/>
    </xf>
    <xf numFmtId="0" fontId="48" fillId="36" borderId="38" xfId="0" applyFont="1" applyFill="1" applyBorder="1" applyAlignment="1">
      <alignment vertical="center"/>
    </xf>
    <xf numFmtId="0" fontId="48" fillId="36" borderId="38" xfId="0" applyFont="1" applyFill="1" applyBorder="1" applyAlignment="1">
      <alignment horizontal="left" vertical="center" wrapText="1"/>
    </xf>
    <xf numFmtId="4" fontId="47" fillId="36" borderId="32" xfId="0" applyNumberFormat="1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4" fontId="4" fillId="0" borderId="6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0" fillId="0" borderId="0" xfId="5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4" fontId="5" fillId="0" borderId="6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44" fontId="0" fillId="0" borderId="10" xfId="0" applyNumberFormat="1" applyBorder="1" applyAlignment="1">
      <alignment horizontal="center"/>
    </xf>
    <xf numFmtId="204" fontId="0" fillId="0" borderId="10" xfId="50" applyNumberFormat="1" applyFont="1" applyBorder="1" applyAlignment="1">
      <alignment/>
    </xf>
    <xf numFmtId="204" fontId="8" fillId="0" borderId="10" xfId="5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92" xfId="0" applyFont="1" applyBorder="1" applyAlignment="1">
      <alignment/>
    </xf>
    <xf numFmtId="4" fontId="0" fillId="0" borderId="107" xfId="50" applyNumberFormat="1" applyFont="1" applyBorder="1" applyAlignment="1">
      <alignment/>
    </xf>
    <xf numFmtId="0" fontId="0" fillId="0" borderId="99" xfId="0" applyFont="1" applyBorder="1" applyAlignment="1">
      <alignment/>
    </xf>
    <xf numFmtId="4" fontId="0" fillId="0" borderId="108" xfId="50" applyNumberFormat="1" applyFont="1" applyBorder="1" applyAlignment="1">
      <alignment/>
    </xf>
    <xf numFmtId="4" fontId="0" fillId="0" borderId="109" xfId="50" applyNumberFormat="1" applyFont="1" applyBorder="1" applyAlignment="1">
      <alignment/>
    </xf>
    <xf numFmtId="4" fontId="8" fillId="0" borderId="10" xfId="5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43" fontId="0" fillId="0" borderId="110" xfId="50" applyNumberFormat="1" applyFont="1" applyBorder="1" applyAlignment="1">
      <alignment/>
    </xf>
    <xf numFmtId="43" fontId="0" fillId="0" borderId="111" xfId="50" applyNumberFormat="1" applyFont="1" applyBorder="1" applyAlignment="1">
      <alignment/>
    </xf>
    <xf numFmtId="43" fontId="0" fillId="0" borderId="112" xfId="50" applyNumberFormat="1" applyFont="1" applyBorder="1" applyAlignment="1">
      <alignment/>
    </xf>
    <xf numFmtId="43" fontId="0" fillId="0" borderId="100" xfId="50" applyNumberFormat="1" applyFont="1" applyBorder="1" applyAlignment="1">
      <alignment/>
    </xf>
    <xf numFmtId="43" fontId="0" fillId="0" borderId="113" xfId="50" applyNumberFormat="1" applyFont="1" applyBorder="1" applyAlignment="1">
      <alignment/>
    </xf>
    <xf numFmtId="43" fontId="0" fillId="0" borderId="102" xfId="5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50" applyNumberFormat="1" applyFont="1" applyBorder="1" applyAlignment="1">
      <alignment/>
    </xf>
    <xf numFmtId="43" fontId="8" fillId="0" borderId="28" xfId="50" applyNumberFormat="1" applyFont="1" applyBorder="1" applyAlignment="1">
      <alignment/>
    </xf>
    <xf numFmtId="0" fontId="10" fillId="0" borderId="54" xfId="0" applyFont="1" applyBorder="1" applyAlignment="1">
      <alignment/>
    </xf>
    <xf numFmtId="0" fontId="0" fillId="0" borderId="101" xfId="0" applyFont="1" applyBorder="1" applyAlignment="1">
      <alignment/>
    </xf>
    <xf numFmtId="0" fontId="3" fillId="0" borderId="10" xfId="0" applyFont="1" applyBorder="1" applyAlignment="1">
      <alignment wrapText="1"/>
    </xf>
    <xf numFmtId="0" fontId="109" fillId="33" borderId="0" xfId="36" applyFont="1" applyFill="1" applyAlignment="1" applyProtection="1">
      <alignment horizontal="center"/>
      <protection/>
    </xf>
    <xf numFmtId="0" fontId="2" fillId="0" borderId="58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top"/>
    </xf>
    <xf numFmtId="0" fontId="2" fillId="0" borderId="48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3" fontId="7" fillId="0" borderId="1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4" fontId="8" fillId="0" borderId="31" xfId="0" applyNumberFormat="1" applyFont="1" applyBorder="1" applyAlignment="1">
      <alignment/>
    </xf>
    <xf numFmtId="190" fontId="0" fillId="0" borderId="112" xfId="45" applyNumberFormat="1" applyFont="1" applyBorder="1" applyAlignment="1">
      <alignment/>
    </xf>
    <xf numFmtId="190" fontId="0" fillId="0" borderId="100" xfId="45" applyNumberFormat="1" applyFont="1" applyBorder="1" applyAlignment="1">
      <alignment/>
    </xf>
    <xf numFmtId="190" fontId="0" fillId="0" borderId="113" xfId="45" applyNumberFormat="1" applyFont="1" applyBorder="1" applyAlignment="1">
      <alignment/>
    </xf>
    <xf numFmtId="190" fontId="0" fillId="0" borderId="102" xfId="45" applyNumberFormat="1" applyFont="1" applyBorder="1" applyAlignment="1">
      <alignment/>
    </xf>
    <xf numFmtId="43" fontId="0" fillId="0" borderId="114" xfId="45" applyFont="1" applyBorder="1" applyAlignment="1">
      <alignment/>
    </xf>
    <xf numFmtId="43" fontId="0" fillId="0" borderId="55" xfId="45" applyFont="1" applyBorder="1" applyAlignment="1">
      <alignment/>
    </xf>
    <xf numFmtId="190" fontId="8" fillId="41" borderId="10" xfId="45" applyNumberFormat="1" applyFont="1" applyFill="1" applyBorder="1" applyAlignment="1">
      <alignment/>
    </xf>
    <xf numFmtId="0" fontId="10" fillId="0" borderId="115" xfId="0" applyFont="1" applyBorder="1" applyAlignment="1">
      <alignment/>
    </xf>
    <xf numFmtId="43" fontId="0" fillId="0" borderId="68" xfId="45" applyFont="1" applyBorder="1" applyAlignment="1">
      <alignment/>
    </xf>
    <xf numFmtId="43" fontId="0" fillId="0" borderId="72" xfId="45" applyFont="1" applyBorder="1" applyAlignment="1">
      <alignment/>
    </xf>
    <xf numFmtId="190" fontId="8" fillId="41" borderId="28" xfId="45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50" fillId="0" borderId="0" xfId="57" applyFont="1" applyFill="1" applyAlignment="1" applyProtection="1">
      <alignment/>
      <protection/>
    </xf>
    <xf numFmtId="0" fontId="12" fillId="0" borderId="0" xfId="55" applyFont="1">
      <alignment/>
      <protection/>
    </xf>
    <xf numFmtId="0" fontId="0" fillId="0" borderId="0" xfId="55">
      <alignment/>
      <protection/>
    </xf>
    <xf numFmtId="0" fontId="8" fillId="0" borderId="1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4" fontId="0" fillId="0" borderId="10" xfId="55" applyNumberFormat="1" applyBorder="1" applyAlignment="1">
      <alignment horizontal="center"/>
      <protection/>
    </xf>
    <xf numFmtId="0" fontId="12" fillId="0" borderId="0" xfId="55" applyFont="1" applyAlignment="1">
      <alignment horizontal="justify"/>
      <protection/>
    </xf>
    <xf numFmtId="0" fontId="8" fillId="0" borderId="10" xfId="55" applyFont="1" applyBorder="1" applyAlignment="1">
      <alignment horizontal="center" wrapText="1"/>
      <protection/>
    </xf>
    <xf numFmtId="0" fontId="4" fillId="0" borderId="0" xfId="55" applyFont="1">
      <alignment/>
      <protection/>
    </xf>
    <xf numFmtId="0" fontId="8" fillId="34" borderId="10" xfId="55" applyFont="1" applyFill="1" applyBorder="1" applyAlignment="1">
      <alignment horizontal="center"/>
      <protection/>
    </xf>
    <xf numFmtId="2" fontId="0" fillId="0" borderId="10" xfId="55" applyNumberFormat="1" applyBorder="1" applyAlignment="1">
      <alignment horizontal="center"/>
      <protection/>
    </xf>
    <xf numFmtId="0" fontId="0" fillId="0" borderId="14" xfId="55" applyFont="1" applyBorder="1">
      <alignment/>
      <protection/>
    </xf>
    <xf numFmtId="4" fontId="0" fillId="0" borderId="10" xfId="55" applyNumberFormat="1" applyFill="1" applyBorder="1">
      <alignment/>
      <protection/>
    </xf>
    <xf numFmtId="0" fontId="8" fillId="0" borderId="58" xfId="55" applyFont="1" applyBorder="1">
      <alignment/>
      <protection/>
    </xf>
    <xf numFmtId="4" fontId="8" fillId="0" borderId="10" xfId="55" applyNumberFormat="1" applyFont="1" applyFill="1" applyBorder="1">
      <alignment/>
      <protection/>
    </xf>
    <xf numFmtId="0" fontId="0" fillId="0" borderId="58" xfId="55" applyFont="1" applyBorder="1">
      <alignment/>
      <protection/>
    </xf>
    <xf numFmtId="0" fontId="0" fillId="0" borderId="14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110" fillId="0" borderId="14" xfId="36" applyFont="1" applyBorder="1" applyAlignment="1" applyProtection="1">
      <alignment/>
      <protection/>
    </xf>
    <xf numFmtId="0" fontId="110" fillId="0" borderId="14" xfId="36" applyFont="1" applyFill="1" applyBorder="1" applyAlignment="1" applyProtection="1">
      <alignment/>
      <protection/>
    </xf>
    <xf numFmtId="0" fontId="111" fillId="0" borderId="0" xfId="53" applyFont="1" applyAlignment="1">
      <alignment horizontal="right"/>
      <protection/>
    </xf>
    <xf numFmtId="0" fontId="111" fillId="0" borderId="0" xfId="53" applyFont="1" applyAlignment="1">
      <alignment horizontal="left"/>
      <protection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55" applyFont="1" applyBorder="1" applyAlignment="1">
      <alignment vertical="center"/>
      <protection/>
    </xf>
    <xf numFmtId="0" fontId="52" fillId="0" borderId="63" xfId="55" applyFont="1" applyBorder="1" applyAlignment="1">
      <alignment horizontal="center" vertical="center" wrapText="1"/>
      <protection/>
    </xf>
    <xf numFmtId="0" fontId="52" fillId="0" borderId="34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4" fontId="4" fillId="0" borderId="11" xfId="55" applyNumberFormat="1" applyFont="1" applyBorder="1" applyAlignment="1">
      <alignment horizontal="right"/>
      <protection/>
    </xf>
    <xf numFmtId="10" fontId="4" fillId="0" borderId="11" xfId="63" applyNumberFormat="1" applyFont="1" applyFill="1" applyBorder="1" applyAlignment="1">
      <alignment horizontal="center" vertical="center"/>
    </xf>
    <xf numFmtId="10" fontId="4" fillId="0" borderId="11" xfId="63" applyNumberFormat="1" applyFont="1" applyBorder="1" applyAlignment="1">
      <alignment horizontal="center" vertical="center"/>
    </xf>
    <xf numFmtId="4" fontId="4" fillId="0" borderId="12" xfId="55" applyNumberFormat="1" applyFont="1" applyBorder="1" applyAlignment="1">
      <alignment horizontal="right"/>
      <protection/>
    </xf>
    <xf numFmtId="10" fontId="4" fillId="0" borderId="12" xfId="63" applyNumberFormat="1" applyFont="1" applyFill="1" applyBorder="1" applyAlignment="1">
      <alignment horizontal="center" vertical="center"/>
    </xf>
    <xf numFmtId="0" fontId="6" fillId="0" borderId="81" xfId="55" applyFont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right" vertical="center"/>
      <protection/>
    </xf>
    <xf numFmtId="10" fontId="8" fillId="0" borderId="10" xfId="63" applyNumberFormat="1" applyFont="1" applyBorder="1" applyAlignment="1">
      <alignment horizontal="center" vertical="center"/>
    </xf>
    <xf numFmtId="0" fontId="0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vertical="center"/>
      <protection/>
    </xf>
    <xf numFmtId="4" fontId="3" fillId="0" borderId="11" xfId="55" applyNumberFormat="1" applyFont="1" applyBorder="1" applyAlignment="1">
      <alignment horizontal="right" vertical="center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3" fillId="0" borderId="56" xfId="55" applyFont="1" applyBorder="1" applyAlignment="1">
      <alignment vertical="center"/>
      <protection/>
    </xf>
    <xf numFmtId="4" fontId="3" fillId="0" borderId="12" xfId="55" applyNumberFormat="1" applyFont="1" applyBorder="1" applyAlignment="1">
      <alignment horizontal="right" vertical="center"/>
      <protection/>
    </xf>
    <xf numFmtId="3" fontId="3" fillId="0" borderId="12" xfId="55" applyNumberFormat="1" applyFont="1" applyBorder="1" applyAlignment="1">
      <alignment horizontal="center" vertical="center"/>
      <protection/>
    </xf>
    <xf numFmtId="0" fontId="3" fillId="0" borderId="81" xfId="55" applyFont="1" applyBorder="1" applyAlignment="1">
      <alignment vertical="center"/>
      <protection/>
    </xf>
    <xf numFmtId="4" fontId="3" fillId="0" borderId="80" xfId="55" applyNumberFormat="1" applyFont="1" applyBorder="1" applyAlignment="1">
      <alignment horizontal="right" vertical="center"/>
      <protection/>
    </xf>
    <xf numFmtId="3" fontId="3" fillId="0" borderId="80" xfId="55" applyNumberFormat="1" applyFont="1" applyBorder="1" applyAlignment="1">
      <alignment horizontal="center" vertical="center"/>
      <protection/>
    </xf>
    <xf numFmtId="0" fontId="50" fillId="0" borderId="54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50" fillId="0" borderId="81" xfId="0" applyFont="1" applyBorder="1" applyAlignment="1">
      <alignment vertical="center"/>
    </xf>
    <xf numFmtId="0" fontId="21" fillId="34" borderId="10" xfId="53" applyFont="1" applyFill="1" applyBorder="1">
      <alignment/>
      <protection/>
    </xf>
    <xf numFmtId="4" fontId="21" fillId="34" borderId="1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10" fontId="21" fillId="0" borderId="10" xfId="60" applyNumberFormat="1" applyFont="1" applyBorder="1" applyAlignment="1">
      <alignment horizontal="center"/>
    </xf>
    <xf numFmtId="4" fontId="19" fillId="0" borderId="31" xfId="53" applyNumberFormat="1" applyFont="1" applyBorder="1">
      <alignment/>
      <protection/>
    </xf>
    <xf numFmtId="4" fontId="19" fillId="0" borderId="31" xfId="53" applyNumberFormat="1" applyFont="1" applyFill="1" applyBorder="1">
      <alignment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53" fillId="0" borderId="0" xfId="55" applyFont="1">
      <alignment/>
      <protection/>
    </xf>
    <xf numFmtId="0" fontId="6" fillId="0" borderId="10" xfId="55" applyFont="1" applyBorder="1" applyAlignment="1">
      <alignment horizontal="justify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justify" wrapText="1"/>
    </xf>
    <xf numFmtId="0" fontId="6" fillId="0" borderId="58" xfId="55" applyFont="1" applyBorder="1" applyAlignment="1">
      <alignment horizontal="centerContinuous" vertical="center"/>
      <protection/>
    </xf>
    <xf numFmtId="0" fontId="6" fillId="0" borderId="35" xfId="55" applyFont="1" applyBorder="1" applyAlignment="1">
      <alignment horizontal="centerContinuous" vertical="center"/>
      <protection/>
    </xf>
    <xf numFmtId="0" fontId="6" fillId="0" borderId="61" xfId="55" applyFont="1" applyBorder="1" applyAlignment="1">
      <alignment horizontal="centerContinuous" vertical="center"/>
      <protection/>
    </xf>
    <xf numFmtId="0" fontId="3" fillId="0" borderId="54" xfId="55" applyFont="1" applyBorder="1" applyAlignment="1">
      <alignment horizontal="left" vertical="center" wrapText="1"/>
      <protection/>
    </xf>
    <xf numFmtId="0" fontId="3" fillId="0" borderId="114" xfId="55" applyFont="1" applyBorder="1" applyAlignment="1">
      <alignment horizontal="left" vertical="center" wrapText="1"/>
      <protection/>
    </xf>
    <xf numFmtId="3" fontId="2" fillId="0" borderId="114" xfId="55" applyNumberFormat="1" applyFont="1" applyBorder="1" applyAlignment="1">
      <alignment horizontal="center" vertical="center"/>
      <protection/>
    </xf>
    <xf numFmtId="4" fontId="3" fillId="0" borderId="55" xfId="55" applyNumberFormat="1" applyFont="1" applyBorder="1" applyAlignment="1">
      <alignment horizontal="right" vertical="center"/>
      <protection/>
    </xf>
    <xf numFmtId="0" fontId="3" fillId="0" borderId="56" xfId="55" applyFont="1" applyBorder="1" applyAlignment="1">
      <alignment horizontal="left" vertical="center" wrapText="1"/>
      <protection/>
    </xf>
    <xf numFmtId="10" fontId="3" fillId="0" borderId="71" xfId="55" applyNumberFormat="1" applyFont="1" applyBorder="1" applyAlignment="1">
      <alignment horizontal="center" vertical="center" wrapText="1"/>
      <protection/>
    </xf>
    <xf numFmtId="3" fontId="2" fillId="0" borderId="116" xfId="55" applyNumberFormat="1" applyFont="1" applyBorder="1" applyAlignment="1">
      <alignment horizontal="center" vertical="center"/>
      <protection/>
    </xf>
    <xf numFmtId="4" fontId="3" fillId="0" borderId="57" xfId="55" applyNumberFormat="1" applyFont="1" applyBorder="1" applyAlignment="1">
      <alignment horizontal="right" vertical="center"/>
      <protection/>
    </xf>
    <xf numFmtId="0" fontId="3" fillId="35" borderId="14" xfId="55" applyFont="1" applyFill="1" applyBorder="1" applyAlignment="1">
      <alignment horizontal="left" vertical="center" wrapText="1"/>
      <protection/>
    </xf>
    <xf numFmtId="0" fontId="3" fillId="35" borderId="38" xfId="55" applyFont="1" applyFill="1" applyBorder="1" applyAlignment="1">
      <alignment horizontal="left" vertical="center" wrapText="1"/>
      <protection/>
    </xf>
    <xf numFmtId="3" fontId="2" fillId="35" borderId="38" xfId="55" applyNumberFormat="1" applyFont="1" applyFill="1" applyBorder="1" applyAlignment="1">
      <alignment horizontal="center" vertical="center"/>
      <protection/>
    </xf>
    <xf numFmtId="4" fontId="3" fillId="35" borderId="32" xfId="55" applyNumberFormat="1" applyFont="1" applyFill="1" applyBorder="1" applyAlignment="1">
      <alignment horizontal="right" vertical="center"/>
      <protection/>
    </xf>
    <xf numFmtId="4" fontId="3" fillId="0" borderId="55" xfId="55" applyNumberFormat="1" applyFont="1" applyFill="1" applyBorder="1" applyAlignment="1">
      <alignment horizontal="right" vertical="center"/>
      <protection/>
    </xf>
    <xf numFmtId="0" fontId="3" fillId="0" borderId="71" xfId="55" applyFont="1" applyBorder="1" applyAlignment="1">
      <alignment horizontal="left" vertical="center" wrapText="1"/>
      <protection/>
    </xf>
    <xf numFmtId="10" fontId="3" fillId="0" borderId="28" xfId="56" applyNumberFormat="1" applyFont="1" applyFill="1" applyBorder="1" applyAlignment="1">
      <alignment horizontal="right" vertical="center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3" fillId="36" borderId="38" xfId="55" applyFont="1" applyFill="1" applyBorder="1" applyAlignment="1">
      <alignment horizontal="left" vertical="center" wrapText="1"/>
      <protection/>
    </xf>
    <xf numFmtId="3" fontId="2" fillId="36" borderId="38" xfId="55" applyNumberFormat="1" applyFont="1" applyFill="1" applyBorder="1" applyAlignment="1">
      <alignment horizontal="center" vertical="center"/>
      <protection/>
    </xf>
    <xf numFmtId="3" fontId="3" fillId="36" borderId="32" xfId="55" applyNumberFormat="1" applyFont="1" applyFill="1" applyBorder="1" applyAlignment="1">
      <alignment horizontal="right" vertical="center"/>
      <protection/>
    </xf>
    <xf numFmtId="0" fontId="3" fillId="0" borderId="35" xfId="55" applyFont="1" applyBorder="1" applyAlignment="1">
      <alignment horizontal="left" vertical="center" wrapText="1"/>
      <protection/>
    </xf>
    <xf numFmtId="3" fontId="2" fillId="0" borderId="38" xfId="55" applyNumberFormat="1" applyFont="1" applyBorder="1" applyAlignment="1">
      <alignment horizontal="center" vertical="center"/>
      <protection/>
    </xf>
    <xf numFmtId="4" fontId="3" fillId="0" borderId="72" xfId="56" applyNumberFormat="1" applyFont="1" applyFill="1" applyBorder="1" applyAlignment="1">
      <alignment horizontal="right" vertical="center"/>
      <protection/>
    </xf>
    <xf numFmtId="0" fontId="8" fillId="36" borderId="14" xfId="55" applyFont="1" applyFill="1" applyBorder="1" applyAlignment="1">
      <alignment horizontal="right" vertical="center" wrapText="1"/>
      <protection/>
    </xf>
    <xf numFmtId="0" fontId="8" fillId="36" borderId="38" xfId="55" applyFont="1" applyFill="1" applyBorder="1" applyAlignment="1">
      <alignment horizontal="right" vertical="center" wrapText="1"/>
      <protection/>
    </xf>
    <xf numFmtId="3" fontId="0" fillId="36" borderId="38" xfId="55" applyNumberFormat="1" applyFont="1" applyFill="1" applyBorder="1" applyAlignment="1">
      <alignment horizontal="center" vertical="center"/>
      <protection/>
    </xf>
    <xf numFmtId="3" fontId="8" fillId="36" borderId="32" xfId="55" applyNumberFormat="1" applyFont="1" applyFill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3" fillId="0" borderId="81" xfId="55" applyFont="1" applyBorder="1" applyAlignment="1">
      <alignment horizontal="left" vertical="center" wrapText="1"/>
      <protection/>
    </xf>
    <xf numFmtId="0" fontId="3" fillId="0" borderId="116" xfId="55" applyFont="1" applyBorder="1" applyAlignment="1">
      <alignment horizontal="left" vertical="center" wrapText="1"/>
      <protection/>
    </xf>
    <xf numFmtId="4" fontId="3" fillId="0" borderId="117" xfId="55" applyNumberFormat="1" applyFont="1" applyBorder="1" applyAlignment="1">
      <alignment horizontal="right" vertical="center"/>
      <protection/>
    </xf>
    <xf numFmtId="0" fontId="2" fillId="0" borderId="60" xfId="55" applyFont="1" applyBorder="1" applyAlignment="1">
      <alignment horizontal="left" vertical="center" wrapText="1"/>
      <protection/>
    </xf>
    <xf numFmtId="0" fontId="2" fillId="0" borderId="118" xfId="55" applyFont="1" applyBorder="1" applyAlignment="1">
      <alignment horizontal="left" vertical="center" wrapText="1"/>
      <protection/>
    </xf>
    <xf numFmtId="10" fontId="2" fillId="0" borderId="118" xfId="56" applyNumberFormat="1" applyFont="1" applyFill="1" applyBorder="1" applyAlignment="1">
      <alignment horizontal="centerContinuous" vertical="center"/>
      <protection/>
    </xf>
    <xf numFmtId="10" fontId="3" fillId="0" borderId="119" xfId="63" applyNumberFormat="1" applyFont="1" applyBorder="1" applyAlignment="1">
      <alignment horizontal="centerContinuous"/>
    </xf>
    <xf numFmtId="0" fontId="6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0" xfId="53" applyFont="1" applyFill="1" applyBorder="1">
      <alignment/>
      <protection/>
    </xf>
    <xf numFmtId="0" fontId="9" fillId="0" borderId="10" xfId="53" applyFont="1" applyBorder="1" applyAlignment="1">
      <alignment horizontal="center"/>
      <protection/>
    </xf>
    <xf numFmtId="0" fontId="112" fillId="33" borderId="0" xfId="36" applyFont="1" applyFill="1" applyAlignment="1" applyProtection="1">
      <alignment horizontal="center"/>
      <protection/>
    </xf>
    <xf numFmtId="0" fontId="6" fillId="33" borderId="14" xfId="0" applyFont="1" applyFill="1" applyBorder="1" applyAlignment="1">
      <alignment/>
    </xf>
    <xf numFmtId="204" fontId="6" fillId="0" borderId="10" xfId="49" applyNumberFormat="1" applyFont="1" applyBorder="1" applyAlignment="1">
      <alignment/>
    </xf>
    <xf numFmtId="0" fontId="113" fillId="0" borderId="0" xfId="53" applyFont="1">
      <alignment/>
      <protection/>
    </xf>
    <xf numFmtId="0" fontId="54" fillId="0" borderId="10" xfId="53" applyFont="1" applyBorder="1" applyAlignment="1">
      <alignment horizontal="center" vertical="top" wrapText="1"/>
      <protection/>
    </xf>
    <xf numFmtId="10" fontId="32" fillId="0" borderId="10" xfId="62" applyNumberFormat="1" applyFont="1" applyBorder="1" applyAlignment="1">
      <alignment horizontal="center" vertical="center" wrapText="1"/>
    </xf>
    <xf numFmtId="0" fontId="0" fillId="33" borderId="38" xfId="0" applyFont="1" applyFill="1" applyBorder="1" applyAlignment="1">
      <alignment/>
    </xf>
    <xf numFmtId="204" fontId="4" fillId="0" borderId="10" xfId="49" applyNumberFormat="1" applyFont="1" applyBorder="1" applyAlignment="1">
      <alignment/>
    </xf>
    <xf numFmtId="204" fontId="9" fillId="0" borderId="10" xfId="49" applyNumberFormat="1" applyFont="1" applyBorder="1" applyAlignment="1">
      <alignment/>
    </xf>
    <xf numFmtId="0" fontId="2" fillId="0" borderId="6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3" fontId="9" fillId="0" borderId="9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0" fontId="4" fillId="0" borderId="10" xfId="6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64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6" fillId="0" borderId="58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61" xfId="0" applyFont="1" applyBorder="1" applyAlignment="1">
      <alignment horizontal="centerContinuous" vertical="center"/>
    </xf>
    <xf numFmtId="0" fontId="3" fillId="35" borderId="62" xfId="0" applyFont="1" applyFill="1" applyBorder="1" applyAlignment="1">
      <alignment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6" fillId="0" borderId="114" xfId="0" applyFont="1" applyBorder="1" applyAlignment="1">
      <alignment horizontal="left" vertical="center"/>
    </xf>
    <xf numFmtId="4" fontId="3" fillId="0" borderId="1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6" fillId="36" borderId="79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right" vertical="center"/>
    </xf>
    <xf numFmtId="4" fontId="6" fillId="36" borderId="69" xfId="0" applyNumberFormat="1" applyFont="1" applyFill="1" applyBorder="1" applyAlignment="1">
      <alignment horizontal="right" vertical="center"/>
    </xf>
    <xf numFmtId="0" fontId="6" fillId="0" borderId="120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0" fontId="6" fillId="36" borderId="62" xfId="0" applyFont="1" applyFill="1" applyBorder="1" applyAlignment="1">
      <alignment vertical="center"/>
    </xf>
    <xf numFmtId="4" fontId="6" fillId="36" borderId="41" xfId="0" applyNumberFormat="1" applyFont="1" applyFill="1" applyBorder="1" applyAlignment="1">
      <alignment horizontal="right" vertical="center"/>
    </xf>
    <xf numFmtId="4" fontId="6" fillId="36" borderId="28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" fontId="6" fillId="33" borderId="16" xfId="0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16" fillId="0" borderId="0" xfId="0" applyFont="1" applyAlignment="1">
      <alignment horizontal="center"/>
    </xf>
    <xf numFmtId="0" fontId="114" fillId="33" borderId="0" xfId="0" applyFont="1" applyFill="1" applyAlignment="1">
      <alignment/>
    </xf>
    <xf numFmtId="4" fontId="19" fillId="0" borderId="10" xfId="53" applyNumberFormat="1" applyFont="1" applyFill="1" applyBorder="1" applyAlignment="1">
      <alignment horizontal="center"/>
      <protection/>
    </xf>
    <xf numFmtId="0" fontId="115" fillId="42" borderId="0" xfId="36" applyFont="1" applyFill="1" applyAlignment="1" applyProtection="1">
      <alignment horizontal="center"/>
      <protection/>
    </xf>
    <xf numFmtId="0" fontId="11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6" fillId="43" borderId="0" xfId="36" applyFont="1" applyFill="1" applyAlignment="1" applyProtection="1">
      <alignment horizontal="center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4" fontId="6" fillId="0" borderId="0" xfId="57" applyNumberFormat="1" applyFont="1" applyFill="1" applyBorder="1" applyAlignment="1" applyProtection="1">
      <alignment horizontal="right"/>
      <protection/>
    </xf>
    <xf numFmtId="4" fontId="3" fillId="0" borderId="121" xfId="0" applyNumberFormat="1" applyFont="1" applyBorder="1" applyAlignment="1">
      <alignment horizontal="right" vertical="center"/>
    </xf>
    <xf numFmtId="4" fontId="3" fillId="0" borderId="122" xfId="0" applyNumberFormat="1" applyFont="1" applyBorder="1" applyAlignment="1">
      <alignment horizontal="right" vertical="center"/>
    </xf>
    <xf numFmtId="4" fontId="3" fillId="0" borderId="112" xfId="0" applyNumberFormat="1" applyFont="1" applyBorder="1" applyAlignment="1">
      <alignment horizontal="right" vertical="center"/>
    </xf>
    <xf numFmtId="4" fontId="3" fillId="0" borderId="100" xfId="0" applyNumberFormat="1" applyFont="1" applyBorder="1" applyAlignment="1">
      <alignment horizontal="right" vertical="center"/>
    </xf>
    <xf numFmtId="4" fontId="3" fillId="0" borderId="113" xfId="0" applyNumberFormat="1" applyFont="1" applyBorder="1" applyAlignment="1">
      <alignment horizontal="right" vertical="center"/>
    </xf>
    <xf numFmtId="4" fontId="6" fillId="0" borderId="102" xfId="0" applyNumberFormat="1" applyFont="1" applyBorder="1" applyAlignment="1">
      <alignment horizontal="center" vertical="center"/>
    </xf>
    <xf numFmtId="4" fontId="3" fillId="0" borderId="123" xfId="0" applyNumberFormat="1" applyFont="1" applyBorder="1" applyAlignment="1">
      <alignment horizontal="right" vertical="center"/>
    </xf>
    <xf numFmtId="4" fontId="3" fillId="0" borderId="106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124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09" fillId="33" borderId="0" xfId="36" applyFont="1" applyFill="1" applyBorder="1" applyAlignment="1" applyProtection="1">
      <alignment horizontal="center"/>
      <protection/>
    </xf>
    <xf numFmtId="0" fontId="115" fillId="42" borderId="0" xfId="36" applyFont="1" applyFill="1" applyBorder="1" applyAlignment="1" applyProtection="1">
      <alignment horizontal="center"/>
      <protection/>
    </xf>
    <xf numFmtId="0" fontId="117" fillId="0" borderId="0" xfId="53" applyFont="1" applyBorder="1" applyAlignment="1">
      <alignment horizontal="left"/>
      <protection/>
    </xf>
    <xf numFmtId="0" fontId="21" fillId="0" borderId="0" xfId="53" applyFont="1" applyBorder="1" applyAlignment="1">
      <alignment horizontal="center" wrapText="1"/>
      <protection/>
    </xf>
    <xf numFmtId="0" fontId="3" fillId="0" borderId="10" xfId="0" applyFont="1" applyBorder="1" applyAlignment="1">
      <alignment horizontal="justify"/>
    </xf>
    <xf numFmtId="0" fontId="3" fillId="0" borderId="10" xfId="53" applyFont="1" applyBorder="1" applyAlignment="1">
      <alignment horizontal="left" wrapText="1"/>
      <protection/>
    </xf>
    <xf numFmtId="0" fontId="3" fillId="0" borderId="10" xfId="36" applyFont="1" applyBorder="1" applyAlignment="1" applyProtection="1">
      <alignment horizontal="left" wrapText="1"/>
      <protection/>
    </xf>
    <xf numFmtId="0" fontId="8" fillId="0" borderId="10" xfId="53" applyFont="1" applyFill="1" applyBorder="1" applyAlignment="1">
      <alignment horizontal="center"/>
      <protection/>
    </xf>
    <xf numFmtId="4" fontId="19" fillId="0" borderId="10" xfId="49" applyNumberFormat="1" applyFont="1" applyBorder="1" applyAlignment="1">
      <alignment/>
    </xf>
    <xf numFmtId="0" fontId="37" fillId="0" borderId="10" xfId="53" applyFont="1" applyBorder="1" applyAlignment="1">
      <alignment horizontal="justify" vertical="center" wrapText="1"/>
      <protection/>
    </xf>
    <xf numFmtId="4" fontId="37" fillId="0" borderId="61" xfId="53" applyNumberFormat="1" applyFont="1" applyBorder="1" applyAlignment="1">
      <alignment horizontal="right"/>
      <protection/>
    </xf>
    <xf numFmtId="4" fontId="32" fillId="0" borderId="10" xfId="53" applyNumberFormat="1" applyFont="1" applyBorder="1" applyAlignment="1">
      <alignment horizontal="right" vertical="center" wrapText="1"/>
      <protection/>
    </xf>
    <xf numFmtId="4" fontId="54" fillId="0" borderId="10" xfId="53" applyNumberFormat="1" applyFont="1" applyBorder="1">
      <alignment/>
      <protection/>
    </xf>
    <xf numFmtId="0" fontId="107" fillId="0" borderId="31" xfId="53" applyFont="1" applyBorder="1">
      <alignment/>
      <protection/>
    </xf>
    <xf numFmtId="0" fontId="4" fillId="0" borderId="10" xfId="0" applyFont="1" applyBorder="1" applyAlignment="1">
      <alignment horizontal="justify"/>
    </xf>
    <xf numFmtId="0" fontId="0" fillId="0" borderId="14" xfId="0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28" xfId="0" applyFont="1" applyBorder="1" applyAlignment="1">
      <alignment horizontal="justify" wrapText="1"/>
    </xf>
    <xf numFmtId="0" fontId="8" fillId="0" borderId="58" xfId="0" applyFont="1" applyBorder="1" applyAlignment="1">
      <alignment horizontal="justify" wrapText="1"/>
    </xf>
    <xf numFmtId="0" fontId="0" fillId="0" borderId="61" xfId="0" applyFont="1" applyBorder="1" applyAlignment="1">
      <alignment horizontal="justify" wrapText="1"/>
    </xf>
    <xf numFmtId="0" fontId="0" fillId="0" borderId="62" xfId="0" applyFont="1" applyBorder="1" applyAlignment="1">
      <alignment horizontal="justify" wrapText="1"/>
    </xf>
    <xf numFmtId="4" fontId="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118" fillId="0" borderId="0" xfId="0" applyFont="1" applyAlignment="1">
      <alignment/>
    </xf>
    <xf numFmtId="0" fontId="0" fillId="0" borderId="10" xfId="55" applyBorder="1" applyAlignment="1">
      <alignment wrapText="1"/>
      <protection/>
    </xf>
    <xf numFmtId="0" fontId="0" fillId="0" borderId="10" xfId="55" applyBorder="1">
      <alignment/>
      <protection/>
    </xf>
    <xf numFmtId="0" fontId="8" fillId="0" borderId="0" xfId="55" applyFont="1">
      <alignment/>
      <protection/>
    </xf>
    <xf numFmtId="0" fontId="8" fillId="0" borderId="13" xfId="0" applyFont="1" applyBorder="1" applyAlignment="1">
      <alignment horizontal="justify" wrapText="1"/>
    </xf>
    <xf numFmtId="0" fontId="0" fillId="34" borderId="31" xfId="0" applyFont="1" applyFill="1" applyBorder="1" applyAlignment="1">
      <alignment horizontal="justify" wrapText="1"/>
    </xf>
    <xf numFmtId="4" fontId="117" fillId="0" borderId="61" xfId="53" applyNumberFormat="1" applyFont="1" applyBorder="1" applyAlignment="1">
      <alignment horizontal="right"/>
      <protection/>
    </xf>
    <xf numFmtId="0" fontId="105" fillId="0" borderId="48" xfId="53" applyFont="1" applyBorder="1" applyAlignment="1">
      <alignment horizontal="center"/>
      <protection/>
    </xf>
    <xf numFmtId="49" fontId="105" fillId="0" borderId="0" xfId="53" applyNumberFormat="1" applyFont="1" applyBorder="1" applyAlignment="1">
      <alignment horizontal="center"/>
      <protection/>
    </xf>
    <xf numFmtId="4" fontId="105" fillId="0" borderId="0" xfId="53" applyNumberFormat="1" applyFont="1" applyBorder="1">
      <alignment/>
      <protection/>
    </xf>
    <xf numFmtId="4" fontId="105" fillId="0" borderId="72" xfId="53" applyNumberFormat="1" applyFont="1" applyBorder="1">
      <alignment/>
      <protection/>
    </xf>
    <xf numFmtId="0" fontId="105" fillId="0" borderId="62" xfId="53" applyFont="1" applyBorder="1" applyAlignment="1">
      <alignment horizontal="center"/>
      <protection/>
    </xf>
    <xf numFmtId="49" fontId="105" fillId="0" borderId="41" xfId="53" applyNumberFormat="1" applyFont="1" applyBorder="1" applyAlignment="1">
      <alignment horizontal="center"/>
      <protection/>
    </xf>
    <xf numFmtId="4" fontId="105" fillId="0" borderId="41" xfId="53" applyNumberFormat="1" applyFont="1" applyBorder="1">
      <alignment/>
      <protection/>
    </xf>
    <xf numFmtId="4" fontId="105" fillId="0" borderId="28" xfId="53" applyNumberFormat="1" applyFont="1" applyBorder="1">
      <alignment/>
      <protection/>
    </xf>
    <xf numFmtId="4" fontId="37" fillId="0" borderId="111" xfId="53" applyNumberFormat="1" applyFont="1" applyFill="1" applyBorder="1" applyAlignment="1">
      <alignment horizontal="right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204" fontId="22" fillId="0" borderId="0" xfId="47" applyNumberFormat="1" applyFont="1" applyFill="1" applyBorder="1" applyAlignment="1">
      <alignment horizontal="right" vertical="center"/>
    </xf>
    <xf numFmtId="0" fontId="0" fillId="0" borderId="0" xfId="53" applyFont="1" applyBorder="1" applyAlignment="1">
      <alignment vertical="center"/>
      <protection/>
    </xf>
    <xf numFmtId="204" fontId="8" fillId="0" borderId="0" xfId="47" applyNumberFormat="1" applyFont="1" applyFill="1" applyBorder="1" applyAlignment="1">
      <alignment vertical="center"/>
    </xf>
    <xf numFmtId="204" fontId="22" fillId="0" borderId="0" xfId="47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10" fontId="0" fillId="0" borderId="10" xfId="60" applyNumberFormat="1" applyFont="1" applyBorder="1" applyAlignment="1">
      <alignment horizontal="center" vertical="top" wrapText="1"/>
    </xf>
    <xf numFmtId="10" fontId="0" fillId="0" borderId="10" xfId="6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53" applyFont="1" applyBorder="1" applyAlignment="1">
      <alignment horizontal="left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17" fillId="0" borderId="0" xfId="53" applyFont="1" applyAlignment="1">
      <alignment horizontal="left"/>
      <protection/>
    </xf>
    <xf numFmtId="0" fontId="8" fillId="44" borderId="48" xfId="53" applyFont="1" applyFill="1" applyBorder="1" applyAlignment="1">
      <alignment horizontal="centerContinuous"/>
      <protection/>
    </xf>
    <xf numFmtId="0" fontId="8" fillId="44" borderId="0" xfId="53" applyFont="1" applyFill="1" applyBorder="1" applyAlignment="1">
      <alignment horizontal="centerContinuous"/>
      <protection/>
    </xf>
    <xf numFmtId="0" fontId="31" fillId="44" borderId="0" xfId="53" applyFont="1" applyFill="1" applyBorder="1" applyAlignment="1">
      <alignment horizontal="centerContinuous" vertical="center"/>
      <protection/>
    </xf>
    <xf numFmtId="0" fontId="31" fillId="44" borderId="69" xfId="53" applyFont="1" applyFill="1" applyBorder="1" applyAlignment="1">
      <alignment horizontal="centerContinuous" vertical="center"/>
      <protection/>
    </xf>
    <xf numFmtId="0" fontId="8" fillId="44" borderId="62" xfId="53" applyFont="1" applyFill="1" applyBorder="1" applyAlignment="1">
      <alignment horizontal="centerContinuous"/>
      <protection/>
    </xf>
    <xf numFmtId="0" fontId="8" fillId="44" borderId="41" xfId="53" applyFont="1" applyFill="1" applyBorder="1" applyAlignment="1">
      <alignment horizontal="centerContinuous"/>
      <protection/>
    </xf>
    <xf numFmtId="0" fontId="31" fillId="44" borderId="41" xfId="53" applyFont="1" applyFill="1" applyBorder="1" applyAlignment="1">
      <alignment horizontal="centerContinuous" vertical="center"/>
      <protection/>
    </xf>
    <xf numFmtId="0" fontId="31" fillId="44" borderId="28" xfId="53" applyFont="1" applyFill="1" applyBorder="1" applyAlignment="1">
      <alignment horizontal="centerContinuous" vertical="center"/>
      <protection/>
    </xf>
    <xf numFmtId="0" fontId="3" fillId="44" borderId="35" xfId="53" applyFont="1" applyFill="1" applyBorder="1" applyAlignment="1">
      <alignment vertical="center"/>
      <protection/>
    </xf>
    <xf numFmtId="0" fontId="3" fillId="44" borderId="0" xfId="53" applyFont="1" applyFill="1" applyBorder="1" applyAlignment="1">
      <alignment vertical="center"/>
      <protection/>
    </xf>
    <xf numFmtId="0" fontId="3" fillId="44" borderId="0" xfId="53" applyFont="1" applyFill="1" applyBorder="1" applyAlignment="1">
      <alignment horizontal="center" vertical="center"/>
      <protection/>
    </xf>
    <xf numFmtId="0" fontId="13" fillId="44" borderId="63" xfId="53" applyFont="1" applyFill="1" applyBorder="1" applyAlignment="1">
      <alignment horizontal="center" vertical="center" wrapText="1"/>
      <protection/>
    </xf>
    <xf numFmtId="0" fontId="13" fillId="44" borderId="34" xfId="53" applyFont="1" applyFill="1" applyBorder="1" applyAlignment="1">
      <alignment horizontal="center" vertical="center" wrapText="1"/>
      <protection/>
    </xf>
    <xf numFmtId="0" fontId="4" fillId="44" borderId="11" xfId="53" applyFont="1" applyFill="1" applyBorder="1" applyAlignment="1">
      <alignment vertical="center"/>
      <protection/>
    </xf>
    <xf numFmtId="4" fontId="4" fillId="44" borderId="11" xfId="53" applyNumberFormat="1" applyFont="1" applyFill="1" applyBorder="1" applyAlignment="1">
      <alignment horizontal="right" vertical="center"/>
      <protection/>
    </xf>
    <xf numFmtId="9" fontId="4" fillId="44" borderId="11" xfId="53" applyNumberFormat="1" applyFont="1" applyFill="1" applyBorder="1" applyAlignment="1">
      <alignment horizontal="center" vertical="center"/>
      <protection/>
    </xf>
    <xf numFmtId="0" fontId="4" fillId="44" borderId="56" xfId="53" applyFont="1" applyFill="1" applyBorder="1" applyAlignment="1">
      <alignment vertical="center"/>
      <protection/>
    </xf>
    <xf numFmtId="4" fontId="4" fillId="44" borderId="12" xfId="53" applyNumberFormat="1" applyFont="1" applyFill="1" applyBorder="1" applyAlignment="1">
      <alignment horizontal="right" vertical="center"/>
      <protection/>
    </xf>
    <xf numFmtId="9" fontId="4" fillId="44" borderId="12" xfId="53" applyNumberFormat="1" applyFont="1" applyFill="1" applyBorder="1" applyAlignment="1">
      <alignment horizontal="center" vertical="center"/>
      <protection/>
    </xf>
    <xf numFmtId="0" fontId="4" fillId="44" borderId="81" xfId="53" applyFont="1" applyFill="1" applyBorder="1" applyAlignment="1">
      <alignment vertical="center"/>
      <protection/>
    </xf>
    <xf numFmtId="4" fontId="4" fillId="44" borderId="80" xfId="53" applyNumberFormat="1" applyFont="1" applyFill="1" applyBorder="1" applyAlignment="1">
      <alignment horizontal="right" vertical="center"/>
      <protection/>
    </xf>
    <xf numFmtId="9" fontId="4" fillId="44" borderId="80" xfId="53" applyNumberFormat="1" applyFont="1" applyFill="1" applyBorder="1" applyAlignment="1">
      <alignment horizontal="center" vertical="center"/>
      <protection/>
    </xf>
    <xf numFmtId="0" fontId="117" fillId="0" borderId="10" xfId="53" applyFont="1" applyBorder="1" applyAlignment="1">
      <alignment horizontal="left" vertical="center"/>
      <protection/>
    </xf>
    <xf numFmtId="0" fontId="37" fillId="0" borderId="10" xfId="53" applyFont="1" applyBorder="1" applyAlignment="1">
      <alignment vertical="center"/>
      <protection/>
    </xf>
    <xf numFmtId="0" fontId="108" fillId="44" borderId="0" xfId="53" applyFont="1" applyFill="1">
      <alignment/>
      <protection/>
    </xf>
    <xf numFmtId="0" fontId="113" fillId="44" borderId="0" xfId="53" applyFont="1" applyFill="1">
      <alignment/>
      <protection/>
    </xf>
    <xf numFmtId="0" fontId="107" fillId="44" borderId="0" xfId="53" applyFont="1" applyFill="1">
      <alignment/>
      <protection/>
    </xf>
    <xf numFmtId="0" fontId="19" fillId="44" borderId="14" xfId="53" applyFont="1" applyFill="1" applyBorder="1">
      <alignment/>
      <protection/>
    </xf>
    <xf numFmtId="10" fontId="32" fillId="44" borderId="38" xfId="62" applyNumberFormat="1" applyFont="1" applyFill="1" applyBorder="1" applyAlignment="1">
      <alignment horizontal="center"/>
    </xf>
    <xf numFmtId="10" fontId="32" fillId="44" borderId="32" xfId="62" applyNumberFormat="1" applyFont="1" applyFill="1" applyBorder="1" applyAlignment="1">
      <alignment horizontal="center"/>
    </xf>
    <xf numFmtId="204" fontId="3" fillId="44" borderId="10" xfId="49" applyNumberFormat="1" applyFont="1" applyFill="1" applyBorder="1" applyAlignment="1">
      <alignment/>
    </xf>
    <xf numFmtId="0" fontId="21" fillId="44" borderId="14" xfId="53" applyFont="1" applyFill="1" applyBorder="1">
      <alignment/>
      <protection/>
    </xf>
    <xf numFmtId="10" fontId="6" fillId="44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4" fontId="6" fillId="0" borderId="10" xfId="46" applyNumberFormat="1" applyFont="1" applyBorder="1" applyAlignment="1">
      <alignment horizontal="right" vertical="center"/>
    </xf>
    <xf numFmtId="4" fontId="3" fillId="0" borderId="13" xfId="46" applyNumberFormat="1" applyFont="1" applyBorder="1" applyAlignment="1">
      <alignment vertical="center"/>
    </xf>
    <xf numFmtId="4" fontId="6" fillId="0" borderId="23" xfId="0" applyNumberFormat="1" applyFont="1" applyBorder="1" applyAlignment="1">
      <alignment horizontal="right" vertical="center"/>
    </xf>
    <xf numFmtId="4" fontId="3" fillId="0" borderId="16" xfId="46" applyNumberFormat="1" applyFont="1" applyBorder="1" applyAlignment="1">
      <alignment horizontal="right" vertical="center"/>
    </xf>
    <xf numFmtId="4" fontId="3" fillId="0" borderId="10" xfId="46" applyNumberFormat="1" applyFont="1" applyBorder="1" applyAlignment="1">
      <alignment horizontal="right" vertical="center"/>
    </xf>
    <xf numFmtId="4" fontId="3" fillId="0" borderId="13" xfId="46" applyNumberFormat="1" applyFont="1" applyBorder="1" applyAlignment="1">
      <alignment horizontal="right" vertical="center"/>
    </xf>
    <xf numFmtId="0" fontId="37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wrapText="1"/>
      <protection/>
    </xf>
    <xf numFmtId="0" fontId="19" fillId="0" borderId="10" xfId="53" applyFont="1" applyBorder="1" applyAlignment="1">
      <alignment horizontal="left" wrapText="1"/>
      <protection/>
    </xf>
    <xf numFmtId="4" fontId="21" fillId="0" borderId="10" xfId="53" applyNumberFormat="1" applyFont="1" applyFill="1" applyBorder="1" applyAlignment="1">
      <alignment horizontal="right" wrapText="1"/>
      <protection/>
    </xf>
    <xf numFmtId="4" fontId="19" fillId="0" borderId="10" xfId="53" applyNumberFormat="1" applyFont="1" applyFill="1" applyBorder="1" applyAlignment="1">
      <alignment horizontal="right" wrapText="1"/>
      <protection/>
    </xf>
    <xf numFmtId="202" fontId="19" fillId="0" borderId="10" xfId="62" applyNumberFormat="1" applyFont="1" applyBorder="1" applyAlignment="1">
      <alignment horizontal="center" wrapText="1"/>
    </xf>
    <xf numFmtId="0" fontId="119" fillId="33" borderId="0" xfId="36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204" fontId="12" fillId="33" borderId="0" xfId="0" applyNumberFormat="1" applyFont="1" applyFill="1" applyAlignment="1">
      <alignment/>
    </xf>
    <xf numFmtId="0" fontId="3" fillId="38" borderId="0" xfId="53" applyFont="1" applyFill="1" applyBorder="1" applyAlignment="1">
      <alignment vertical="center" wrapText="1"/>
      <protection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125" xfId="0" applyFont="1" applyBorder="1" applyAlignment="1">
      <alignment horizontal="left"/>
    </xf>
    <xf numFmtId="0" fontId="0" fillId="0" borderId="125" xfId="0" applyFont="1" applyBorder="1" applyAlignment="1">
      <alignment horizontal="left"/>
    </xf>
    <xf numFmtId="0" fontId="6" fillId="0" borderId="35" xfId="0" applyFont="1" applyBorder="1" applyAlignment="1">
      <alignment vertical="center"/>
    </xf>
    <xf numFmtId="204" fontId="6" fillId="0" borderId="13" xfId="46" applyNumberFormat="1" applyFont="1" applyBorder="1" applyAlignment="1">
      <alignment vertical="center"/>
    </xf>
    <xf numFmtId="0" fontId="8" fillId="34" borderId="125" xfId="0" applyFont="1" applyFill="1" applyBorder="1" applyAlignment="1">
      <alignment horizontal="left"/>
    </xf>
    <xf numFmtId="204" fontId="6" fillId="34" borderId="13" xfId="46" applyNumberFormat="1" applyFont="1" applyFill="1" applyBorder="1" applyAlignment="1">
      <alignment vertical="center"/>
    </xf>
    <xf numFmtId="0" fontId="0" fillId="0" borderId="125" xfId="0" applyFont="1" applyBorder="1" applyAlignment="1">
      <alignment horizontal="left" indent="2"/>
    </xf>
    <xf numFmtId="0" fontId="8" fillId="0" borderId="126" xfId="0" applyFont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6" fillId="34" borderId="38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204" fontId="6" fillId="34" borderId="10" xfId="46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0" fillId="0" borderId="0" xfId="0" applyNumberFormat="1" applyFont="1" applyAlignment="1" quotePrefix="1">
      <alignment horizontal="center"/>
    </xf>
    <xf numFmtId="0" fontId="0" fillId="0" borderId="125" xfId="0" applyFont="1" applyBorder="1" applyAlignment="1">
      <alignment wrapText="1"/>
    </xf>
    <xf numFmtId="0" fontId="8" fillId="0" borderId="125" xfId="0" applyFont="1" applyBorder="1" applyAlignment="1">
      <alignment wrapText="1"/>
    </xf>
    <xf numFmtId="0" fontId="3" fillId="34" borderId="32" xfId="0" applyFont="1" applyFill="1" applyBorder="1" applyAlignment="1">
      <alignment/>
    </xf>
    <xf numFmtId="4" fontId="8" fillId="0" borderId="127" xfId="0" applyNumberFormat="1" applyFont="1" applyFill="1" applyBorder="1" applyAlignment="1">
      <alignment horizontal="right" wrapText="1"/>
    </xf>
    <xf numFmtId="4" fontId="3" fillId="0" borderId="127" xfId="0" applyNumberFormat="1" applyFont="1" applyFill="1" applyBorder="1" applyAlignment="1">
      <alignment horizontal="right" wrapText="1"/>
    </xf>
    <xf numFmtId="0" fontId="6" fillId="34" borderId="14" xfId="57" applyFont="1" applyFill="1" applyBorder="1" applyAlignment="1" applyProtection="1">
      <alignment vertical="center"/>
      <protection/>
    </xf>
    <xf numFmtId="0" fontId="6" fillId="34" borderId="38" xfId="57" applyFont="1" applyFill="1" applyBorder="1" applyAlignment="1" applyProtection="1">
      <alignment vertical="center"/>
      <protection/>
    </xf>
    <xf numFmtId="0" fontId="6" fillId="0" borderId="128" xfId="0" applyNumberFormat="1" applyFont="1" applyFill="1" applyBorder="1" applyAlignment="1">
      <alignment horizontal="center"/>
    </xf>
    <xf numFmtId="0" fontId="3" fillId="0" borderId="125" xfId="0" applyFont="1" applyBorder="1" applyAlignment="1">
      <alignment wrapText="1"/>
    </xf>
    <xf numFmtId="0" fontId="3" fillId="0" borderId="125" xfId="0" applyFont="1" applyBorder="1" applyAlignment="1">
      <alignment horizontal="left" wrapText="1"/>
    </xf>
    <xf numFmtId="4" fontId="0" fillId="0" borderId="127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4" fontId="0" fillId="0" borderId="129" xfId="0" applyNumberFormat="1" applyFont="1" applyFill="1" applyBorder="1" applyAlignment="1">
      <alignment horizontal="right" wrapText="1"/>
    </xf>
    <xf numFmtId="4" fontId="8" fillId="0" borderId="129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3" xfId="53" applyFont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10" fontId="4" fillId="0" borderId="10" xfId="60" applyNumberFormat="1" applyFont="1" applyFill="1" applyBorder="1" applyAlignment="1">
      <alignment horizontal="center" vertical="center"/>
    </xf>
    <xf numFmtId="4" fontId="9" fillId="0" borderId="63" xfId="53" applyNumberFormat="1" applyFont="1" applyBorder="1" applyAlignment="1">
      <alignment horizontal="right" vertical="center"/>
      <protection/>
    </xf>
    <xf numFmtId="10" fontId="9" fillId="0" borderId="63" xfId="60" applyNumberFormat="1" applyFont="1" applyBorder="1" applyAlignment="1">
      <alignment horizontal="center" vertical="center"/>
    </xf>
    <xf numFmtId="0" fontId="108" fillId="0" borderId="0" xfId="53" applyFont="1">
      <alignment/>
      <protection/>
    </xf>
    <xf numFmtId="0" fontId="108" fillId="0" borderId="10" xfId="53" applyFont="1" applyBorder="1" applyAlignment="1">
      <alignment horizontal="center"/>
      <protection/>
    </xf>
    <xf numFmtId="0" fontId="107" fillId="0" borderId="14" xfId="53" applyFont="1" applyBorder="1">
      <alignment/>
      <protection/>
    </xf>
    <xf numFmtId="0" fontId="107" fillId="0" borderId="32" xfId="53" applyFont="1" applyBorder="1">
      <alignment/>
      <protection/>
    </xf>
    <xf numFmtId="0" fontId="107" fillId="0" borderId="58" xfId="53" applyFont="1" applyBorder="1">
      <alignment/>
      <protection/>
    </xf>
    <xf numFmtId="0" fontId="107" fillId="0" borderId="13" xfId="53" applyFont="1" applyBorder="1">
      <alignment/>
      <protection/>
    </xf>
    <xf numFmtId="0" fontId="107" fillId="0" borderId="32" xfId="53" applyFont="1" applyBorder="1" applyAlignment="1">
      <alignment horizontal="center"/>
      <protection/>
    </xf>
    <xf numFmtId="0" fontId="107" fillId="0" borderId="65" xfId="53" applyFont="1" applyBorder="1">
      <alignment/>
      <protection/>
    </xf>
    <xf numFmtId="0" fontId="0" fillId="0" borderId="13" xfId="53" applyFont="1" applyBorder="1" applyAlignment="1">
      <alignment vertical="center" wrapText="1"/>
      <protection/>
    </xf>
    <xf numFmtId="0" fontId="0" fillId="0" borderId="47" xfId="53" applyFont="1" applyBorder="1" applyAlignment="1">
      <alignment vertical="center" wrapText="1"/>
      <protection/>
    </xf>
    <xf numFmtId="0" fontId="0" fillId="0" borderId="52" xfId="53" applyFont="1" applyBorder="1" applyAlignment="1">
      <alignment vertical="center" wrapText="1"/>
      <protection/>
    </xf>
    <xf numFmtId="0" fontId="0" fillId="38" borderId="62" xfId="53" applyFont="1" applyFill="1" applyBorder="1" applyAlignment="1">
      <alignment vertical="center" wrapText="1"/>
      <protection/>
    </xf>
    <xf numFmtId="0" fontId="8" fillId="0" borderId="39" xfId="53" applyFont="1" applyBorder="1" applyAlignment="1">
      <alignment vertical="center" wrapText="1"/>
      <protection/>
    </xf>
    <xf numFmtId="0" fontId="35" fillId="0" borderId="31" xfId="53" applyFont="1" applyBorder="1" applyAlignment="1">
      <alignment horizontal="center" vertical="top" wrapText="1"/>
      <protection/>
    </xf>
    <xf numFmtId="0" fontId="8" fillId="33" borderId="14" xfId="0" applyFont="1" applyFill="1" applyBorder="1" applyAlignment="1">
      <alignment vertical="center"/>
    </xf>
    <xf numFmtId="0" fontId="0" fillId="33" borderId="38" xfId="0" applyNumberFormat="1" applyFont="1" applyFill="1" applyBorder="1" applyAlignment="1">
      <alignment vertical="center"/>
    </xf>
    <xf numFmtId="0" fontId="0" fillId="33" borderId="130" xfId="0" applyNumberFormat="1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4" fontId="8" fillId="33" borderId="32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8" fillId="13" borderId="89" xfId="0" applyFont="1" applyFill="1" applyBorder="1" applyAlignment="1">
      <alignment horizontal="center"/>
    </xf>
    <xf numFmtId="0" fontId="8" fillId="34" borderId="58" xfId="0" applyFont="1" applyFill="1" applyBorder="1" applyAlignment="1">
      <alignment/>
    </xf>
    <xf numFmtId="0" fontId="8" fillId="34" borderId="61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0" fontId="9" fillId="39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3" fillId="0" borderId="10" xfId="53" applyFont="1" applyBorder="1" applyAlignment="1">
      <alignment horizontal="left" vertical="center" wrapText="1"/>
      <protection/>
    </xf>
    <xf numFmtId="0" fontId="107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horizontal="justify" wrapText="1"/>
      <protection/>
    </xf>
    <xf numFmtId="0" fontId="9" fillId="0" borderId="85" xfId="54" applyFont="1" applyBorder="1" applyAlignment="1">
      <alignment horizontal="right" vertical="center" wrapText="1"/>
      <protection/>
    </xf>
    <xf numFmtId="4" fontId="9" fillId="0" borderId="50" xfId="54" applyNumberFormat="1" applyFont="1" applyBorder="1" applyAlignment="1">
      <alignment horizontal="right" vertical="center"/>
      <protection/>
    </xf>
    <xf numFmtId="10" fontId="4" fillId="0" borderId="83" xfId="60" applyNumberFormat="1" applyFont="1" applyBorder="1" applyAlignment="1">
      <alignment horizontal="right" vertical="center"/>
    </xf>
    <xf numFmtId="10" fontId="4" fillId="0" borderId="50" xfId="60" applyNumberFormat="1" applyFont="1" applyBorder="1" applyAlignment="1">
      <alignment horizontal="right" vertical="center"/>
    </xf>
    <xf numFmtId="10" fontId="9" fillId="0" borderId="50" xfId="60" applyNumberFormat="1" applyFont="1" applyBorder="1" applyAlignment="1">
      <alignment horizontal="right" vertical="center"/>
    </xf>
    <xf numFmtId="4" fontId="9" fillId="0" borderId="47" xfId="54" applyNumberFormat="1" applyFont="1" applyBorder="1" applyAlignment="1">
      <alignment horizontal="right" vertical="center"/>
      <protection/>
    </xf>
    <xf numFmtId="4" fontId="9" fillId="0" borderId="86" xfId="54" applyNumberFormat="1" applyFont="1" applyBorder="1" applyAlignment="1">
      <alignment horizontal="right" vertical="center"/>
      <protection/>
    </xf>
    <xf numFmtId="0" fontId="9" fillId="0" borderId="76" xfId="54" applyFont="1" applyBorder="1" applyAlignment="1">
      <alignment horizontal="right" vertical="center" wrapText="1"/>
      <protection/>
    </xf>
    <xf numFmtId="4" fontId="9" fillId="0" borderId="23" xfId="54" applyNumberFormat="1" applyFont="1" applyBorder="1" applyAlignment="1">
      <alignment horizontal="right" vertical="center"/>
      <protection/>
    </xf>
    <xf numFmtId="10" fontId="9" fillId="0" borderId="23" xfId="60" applyNumberFormat="1" applyFont="1" applyBorder="1" applyAlignment="1">
      <alignment horizontal="right" vertical="center"/>
    </xf>
    <xf numFmtId="4" fontId="9" fillId="0" borderId="24" xfId="54" applyNumberFormat="1" applyFont="1" applyBorder="1" applyAlignment="1">
      <alignment horizontal="right" vertical="center"/>
      <protection/>
    </xf>
    <xf numFmtId="4" fontId="9" fillId="0" borderId="131" xfId="54" applyNumberFormat="1" applyFont="1" applyFill="1" applyBorder="1" applyAlignment="1">
      <alignment horizontal="right" vertical="center"/>
      <protection/>
    </xf>
    <xf numFmtId="0" fontId="7" fillId="0" borderId="76" xfId="54" applyFont="1" applyBorder="1" applyAlignment="1">
      <alignment vertical="center"/>
      <protection/>
    </xf>
    <xf numFmtId="3" fontId="5" fillId="0" borderId="131" xfId="54" applyNumberFormat="1" applyFont="1" applyBorder="1" applyAlignment="1">
      <alignment horizontal="center" vertical="center" wrapText="1"/>
      <protection/>
    </xf>
    <xf numFmtId="3" fontId="5" fillId="0" borderId="23" xfId="54" applyNumberFormat="1" applyFont="1" applyBorder="1" applyAlignment="1">
      <alignment horizontal="center" vertical="center" wrapText="1"/>
      <protection/>
    </xf>
    <xf numFmtId="3" fontId="5" fillId="0" borderId="132" xfId="54" applyNumberFormat="1" applyFont="1" applyBorder="1" applyAlignment="1">
      <alignment horizontal="center" vertical="center" wrapText="1"/>
      <protection/>
    </xf>
    <xf numFmtId="0" fontId="3" fillId="0" borderId="133" xfId="54" applyFont="1" applyBorder="1" applyAlignment="1">
      <alignment vertical="center"/>
      <protection/>
    </xf>
    <xf numFmtId="0" fontId="43" fillId="0" borderId="133" xfId="54" applyFont="1" applyBorder="1" applyAlignment="1">
      <alignment horizontal="right" vertical="center"/>
      <protection/>
    </xf>
    <xf numFmtId="0" fontId="8" fillId="0" borderId="134" xfId="54" applyFont="1" applyBorder="1" applyAlignment="1">
      <alignment vertical="center"/>
      <protection/>
    </xf>
    <xf numFmtId="0" fontId="6" fillId="0" borderId="135" xfId="54" applyFont="1" applyBorder="1" applyAlignment="1">
      <alignment vertical="center"/>
      <protection/>
    </xf>
    <xf numFmtId="0" fontId="44" fillId="0" borderId="135" xfId="54" applyFont="1" applyBorder="1" applyAlignment="1">
      <alignment horizontal="right" vertical="center"/>
      <protection/>
    </xf>
    <xf numFmtId="0" fontId="0" fillId="0" borderId="136" xfId="54" applyFont="1" applyBorder="1" applyAlignment="1">
      <alignment vertical="center"/>
      <protection/>
    </xf>
    <xf numFmtId="0" fontId="0" fillId="0" borderId="136" xfId="54" applyFont="1" applyBorder="1" applyAlignment="1">
      <alignment horizontal="left" vertical="center" indent="2"/>
      <protection/>
    </xf>
    <xf numFmtId="0" fontId="8" fillId="0" borderId="137" xfId="54" applyFont="1" applyBorder="1" applyAlignment="1">
      <alignment vertical="center"/>
      <protection/>
    </xf>
    <xf numFmtId="0" fontId="0" fillId="0" borderId="85" xfId="54" applyFont="1" applyBorder="1" applyAlignment="1">
      <alignment vertical="center"/>
      <protection/>
    </xf>
    <xf numFmtId="0" fontId="0" fillId="0" borderId="85" xfId="54" applyFont="1" applyBorder="1" applyAlignment="1">
      <alignment horizontal="left" vertical="center" indent="2"/>
      <protection/>
    </xf>
    <xf numFmtId="0" fontId="8" fillId="0" borderId="85" xfId="54" applyFont="1" applyBorder="1" applyAlignment="1">
      <alignment vertical="center"/>
      <protection/>
    </xf>
    <xf numFmtId="0" fontId="23" fillId="0" borderId="138" xfId="54" applyFont="1" applyBorder="1" applyAlignment="1">
      <alignment vertical="center"/>
      <protection/>
    </xf>
    <xf numFmtId="0" fontId="44" fillId="0" borderId="138" xfId="54" applyFont="1" applyBorder="1" applyAlignment="1">
      <alignment horizontal="right" vertical="center"/>
      <protection/>
    </xf>
    <xf numFmtId="0" fontId="3" fillId="0" borderId="82" xfId="54" applyFont="1" applyBorder="1" applyAlignment="1">
      <alignment vertical="center"/>
      <protection/>
    </xf>
    <xf numFmtId="0" fontId="3" fillId="0" borderId="37" xfId="54" applyFont="1" applyBorder="1" applyAlignment="1">
      <alignment vertical="center"/>
      <protection/>
    </xf>
    <xf numFmtId="0" fontId="43" fillId="0" borderId="37" xfId="54" applyFont="1" applyBorder="1" applyAlignment="1">
      <alignment horizontal="right" vertical="center"/>
      <protection/>
    </xf>
    <xf numFmtId="0" fontId="3" fillId="0" borderId="85" xfId="54" applyFont="1" applyBorder="1" applyAlignment="1">
      <alignment vertical="center"/>
      <protection/>
    </xf>
    <xf numFmtId="0" fontId="20" fillId="0" borderId="10" xfId="54" applyBorder="1" applyAlignment="1">
      <alignment horizontal="center" vertical="center"/>
      <protection/>
    </xf>
    <xf numFmtId="0" fontId="20" fillId="0" borderId="10" xfId="54" applyBorder="1" applyAlignment="1">
      <alignment horizontal="center" vertical="center" wrapText="1"/>
      <protection/>
    </xf>
    <xf numFmtId="0" fontId="20" fillId="0" borderId="10" xfId="54" applyBorder="1">
      <alignment/>
      <protection/>
    </xf>
    <xf numFmtId="0" fontId="20" fillId="0" borderId="14" xfId="54" applyBorder="1">
      <alignment/>
      <protection/>
    </xf>
    <xf numFmtId="0" fontId="20" fillId="0" borderId="38" xfId="54" applyBorder="1">
      <alignment/>
      <protection/>
    </xf>
    <xf numFmtId="0" fontId="20" fillId="0" borderId="32" xfId="54" applyBorder="1">
      <alignment/>
      <protection/>
    </xf>
    <xf numFmtId="0" fontId="56" fillId="0" borderId="0" xfId="54" applyFont="1">
      <alignment/>
      <protection/>
    </xf>
    <xf numFmtId="0" fontId="4" fillId="0" borderId="64" xfId="53" applyFont="1" applyBorder="1" applyAlignment="1">
      <alignment horizontal="right" vertical="center" wrapText="1"/>
      <protection/>
    </xf>
    <xf numFmtId="0" fontId="4" fillId="0" borderId="139" xfId="53" applyFont="1" applyBorder="1" applyAlignment="1">
      <alignment horizontal="left" vertical="center"/>
      <protection/>
    </xf>
    <xf numFmtId="0" fontId="0" fillId="33" borderId="41" xfId="0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" fillId="0" borderId="140" xfId="0" applyFont="1" applyBorder="1" applyAlignment="1">
      <alignment wrapText="1"/>
    </xf>
    <xf numFmtId="0" fontId="16" fillId="33" borderId="0" xfId="0" applyFont="1" applyFill="1" applyAlignment="1">
      <alignment horizontal="right"/>
    </xf>
    <xf numFmtId="0" fontId="4" fillId="0" borderId="141" xfId="0" applyFont="1" applyBorder="1" applyAlignment="1">
      <alignment wrapText="1"/>
    </xf>
    <xf numFmtId="0" fontId="12" fillId="0" borderId="0" xfId="0" applyFont="1" applyAlignment="1">
      <alignment horizontal="left"/>
    </xf>
    <xf numFmtId="3" fontId="6" fillId="0" borderId="10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33" borderId="14" xfId="0" applyFont="1" applyFill="1" applyBorder="1" applyAlignment="1">
      <alignment wrapText="1"/>
    </xf>
    <xf numFmtId="4" fontId="8" fillId="33" borderId="38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4" fontId="8" fillId="0" borderId="10" xfId="55" applyNumberFormat="1" applyFont="1" applyBorder="1" applyAlignment="1">
      <alignment horizontal="center"/>
      <protection/>
    </xf>
    <xf numFmtId="0" fontId="8" fillId="33" borderId="76" xfId="0" applyFont="1" applyFill="1" applyBorder="1" applyAlignment="1">
      <alignment/>
    </xf>
    <xf numFmtId="190" fontId="8" fillId="33" borderId="132" xfId="0" applyNumberFormat="1" applyFont="1" applyFill="1" applyBorder="1" applyAlignment="1">
      <alignment/>
    </xf>
    <xf numFmtId="4" fontId="4" fillId="39" borderId="64" xfId="53" applyNumberFormat="1" applyFont="1" applyFill="1" applyBorder="1" applyAlignment="1">
      <alignment horizontal="right" vertical="center"/>
      <protection/>
    </xf>
    <xf numFmtId="4" fontId="4" fillId="39" borderId="47" xfId="53" applyNumberFormat="1" applyFont="1" applyFill="1" applyBorder="1" applyAlignment="1">
      <alignment horizontal="right" vertical="center"/>
      <protection/>
    </xf>
    <xf numFmtId="0" fontId="2" fillId="0" borderId="51" xfId="53" applyFont="1" applyBorder="1" applyAlignment="1">
      <alignment vertical="center" wrapText="1"/>
      <protection/>
    </xf>
    <xf numFmtId="4" fontId="5" fillId="0" borderId="52" xfId="53" applyNumberFormat="1" applyFont="1" applyBorder="1" applyAlignment="1">
      <alignment horizontal="right" vertical="center"/>
      <protection/>
    </xf>
    <xf numFmtId="3" fontId="2" fillId="0" borderId="62" xfId="53" applyNumberFormat="1" applyFont="1" applyBorder="1" applyAlignment="1">
      <alignment horizontal="right" vertical="center"/>
      <protection/>
    </xf>
    <xf numFmtId="3" fontId="2" fillId="0" borderId="41" xfId="53" applyNumberFormat="1" applyFont="1" applyBorder="1" applyAlignment="1">
      <alignment horizontal="right" vertical="center"/>
      <protection/>
    </xf>
    <xf numFmtId="0" fontId="2" fillId="0" borderId="52" xfId="53" applyFont="1" applyBorder="1" applyAlignment="1">
      <alignment vertical="center" wrapText="1"/>
      <protection/>
    </xf>
    <xf numFmtId="0" fontId="8" fillId="0" borderId="60" xfId="53" applyFont="1" applyBorder="1" applyAlignment="1">
      <alignment vertical="center"/>
      <protection/>
    </xf>
    <xf numFmtId="4" fontId="8" fillId="0" borderId="96" xfId="53" applyNumberFormat="1" applyFont="1" applyBorder="1" applyAlignment="1">
      <alignment horizontal="right" vertical="center"/>
      <protection/>
    </xf>
    <xf numFmtId="0" fontId="2" fillId="0" borderId="62" xfId="53" applyFont="1" applyBorder="1" applyAlignment="1">
      <alignment vertical="center" wrapText="1"/>
      <protection/>
    </xf>
    <xf numFmtId="4" fontId="4" fillId="39" borderId="5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0" fontId="9" fillId="0" borderId="90" xfId="53" applyNumberFormat="1" applyFont="1" applyFill="1" applyBorder="1" applyAlignment="1">
      <alignment horizontal="center" vertical="center" wrapText="1"/>
      <protection/>
    </xf>
    <xf numFmtId="3" fontId="9" fillId="0" borderId="0" xfId="53" applyNumberFormat="1" applyFont="1" applyFill="1" applyAlignment="1">
      <alignment horizontal="center" vertical="center" wrapText="1"/>
      <protection/>
    </xf>
    <xf numFmtId="0" fontId="4" fillId="0" borderId="54" xfId="53" applyFont="1" applyFill="1" applyBorder="1" applyAlignment="1">
      <alignment horizontal="center" vertical="center"/>
      <protection/>
    </xf>
    <xf numFmtId="0" fontId="4" fillId="0" borderId="114" xfId="53" applyFont="1" applyFill="1" applyBorder="1" applyAlignment="1">
      <alignment vertical="center" wrapText="1"/>
      <protection/>
    </xf>
    <xf numFmtId="4" fontId="4" fillId="0" borderId="11" xfId="53" applyNumberFormat="1" applyFont="1" applyFill="1" applyBorder="1" applyAlignment="1">
      <alignment horizontal="right" vertical="center" wrapText="1"/>
      <protection/>
    </xf>
    <xf numFmtId="10" fontId="4" fillId="0" borderId="11" xfId="60" applyNumberFormat="1" applyFont="1" applyFill="1" applyBorder="1" applyAlignment="1">
      <alignment horizontal="center" vertical="center" wrapText="1"/>
    </xf>
    <xf numFmtId="0" fontId="4" fillId="0" borderId="48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/>
      <protection/>
    </xf>
    <xf numFmtId="4" fontId="4" fillId="0" borderId="142" xfId="53" applyNumberFormat="1" applyFont="1" applyFill="1" applyBorder="1" applyAlignment="1">
      <alignment horizontal="right" vertical="center" wrapText="1"/>
      <protection/>
    </xf>
    <xf numFmtId="10" fontId="4" fillId="0" borderId="142" xfId="60" applyNumberFormat="1" applyFont="1" applyFill="1" applyBorder="1" applyAlignment="1">
      <alignment horizontal="center" vertical="center" wrapText="1"/>
    </xf>
    <xf numFmtId="0" fontId="4" fillId="0" borderId="56" xfId="53" applyFont="1" applyFill="1" applyBorder="1" applyAlignment="1">
      <alignment horizontal="center" vertical="center"/>
      <protection/>
    </xf>
    <xf numFmtId="0" fontId="4" fillId="0" borderId="7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3" fillId="0" borderId="48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 wrapText="1"/>
      <protection/>
    </xf>
    <xf numFmtId="4" fontId="4" fillId="0" borderId="0" xfId="53" applyNumberFormat="1" applyFont="1" applyFill="1" applyBorder="1" applyAlignment="1">
      <alignment horizontal="righ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4" fontId="9" fillId="0" borderId="14" xfId="53" applyNumberFormat="1" applyFont="1" applyFill="1" applyBorder="1" applyAlignment="1">
      <alignment horizontal="right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21" fillId="34" borderId="0" xfId="53" applyNumberFormat="1" applyFont="1" applyFill="1" applyBorder="1">
      <alignment/>
      <protection/>
    </xf>
    <xf numFmtId="4" fontId="21" fillId="0" borderId="0" xfId="53" applyNumberFormat="1" applyFont="1" applyBorder="1">
      <alignment/>
      <protection/>
    </xf>
    <xf numFmtId="10" fontId="21" fillId="0" borderId="0" xfId="60" applyNumberFormat="1" applyFont="1" applyBorder="1" applyAlignment="1">
      <alignment horizontal="center"/>
    </xf>
    <xf numFmtId="0" fontId="23" fillId="0" borderId="0" xfId="53" applyFont="1" applyBorder="1" applyAlignment="1">
      <alignment horizontal="center" vertical="center"/>
      <protection/>
    </xf>
    <xf numFmtId="3" fontId="0" fillId="0" borderId="0" xfId="53" applyNumberFormat="1" applyFont="1" applyBorder="1" applyAlignment="1">
      <alignment horizontal="center"/>
      <protection/>
    </xf>
    <xf numFmtId="4" fontId="0" fillId="0" borderId="0" xfId="53" applyNumberFormat="1" applyFont="1" applyBorder="1" applyAlignment="1">
      <alignment horizontal="center" vertical="center"/>
      <protection/>
    </xf>
    <xf numFmtId="4" fontId="8" fillId="0" borderId="0" xfId="53" applyNumberFormat="1" applyFont="1" applyBorder="1" applyAlignment="1">
      <alignment horizontal="center"/>
      <protection/>
    </xf>
    <xf numFmtId="10" fontId="0" fillId="0" borderId="0" xfId="62" applyNumberFormat="1" applyFont="1" applyBorder="1" applyAlignment="1">
      <alignment horizontal="center"/>
    </xf>
    <xf numFmtId="0" fontId="21" fillId="0" borderId="0" xfId="53" applyFont="1" applyBorder="1" applyAlignment="1">
      <alignment horizontal="center" vertical="top" wrapText="1"/>
      <protection/>
    </xf>
    <xf numFmtId="4" fontId="19" fillId="0" borderId="0" xfId="53" applyNumberFormat="1" applyFont="1" applyBorder="1" applyAlignment="1">
      <alignment horizontal="center" wrapText="1"/>
      <protection/>
    </xf>
    <xf numFmtId="4" fontId="21" fillId="0" borderId="0" xfId="53" applyNumberFormat="1" applyFont="1" applyBorder="1" applyAlignment="1">
      <alignment horizontal="center" wrapText="1"/>
      <protection/>
    </xf>
    <xf numFmtId="202" fontId="19" fillId="0" borderId="0" xfId="62" applyNumberFormat="1" applyFont="1" applyBorder="1" applyAlignment="1">
      <alignment horizontal="center" wrapText="1"/>
    </xf>
    <xf numFmtId="3" fontId="0" fillId="0" borderId="0" xfId="53" applyNumberFormat="1" applyFont="1" applyBorder="1" applyAlignment="1">
      <alignment horizontal="center" vertical="center"/>
      <protection/>
    </xf>
    <xf numFmtId="4" fontId="8" fillId="0" borderId="0" xfId="53" applyNumberFormat="1" applyFont="1" applyBorder="1" applyAlignment="1">
      <alignment horizontal="center" vertical="center"/>
      <protection/>
    </xf>
    <xf numFmtId="10" fontId="0" fillId="0" borderId="0" xfId="62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justify" wrapText="1"/>
    </xf>
    <xf numFmtId="0" fontId="0" fillId="0" borderId="69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/>
    </xf>
    <xf numFmtId="0" fontId="101" fillId="0" borderId="0" xfId="53" applyFont="1" applyFill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104" fillId="0" borderId="38" xfId="53" applyFont="1" applyFill="1" applyBorder="1">
      <alignment/>
      <protection/>
    </xf>
    <xf numFmtId="0" fontId="85" fillId="0" borderId="32" xfId="53" applyFill="1" applyBorder="1">
      <alignment/>
      <protection/>
    </xf>
    <xf numFmtId="0" fontId="0" fillId="0" borderId="32" xfId="0" applyFont="1" applyFill="1" applyBorder="1" applyAlignment="1">
      <alignment horizontal="center"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/>
    </xf>
    <xf numFmtId="0" fontId="108" fillId="0" borderId="0" xfId="53" applyFont="1" applyFill="1">
      <alignment/>
      <protection/>
    </xf>
    <xf numFmtId="0" fontId="113" fillId="0" borderId="0" xfId="53" applyFont="1" applyFill="1">
      <alignment/>
      <protection/>
    </xf>
    <xf numFmtId="0" fontId="107" fillId="0" borderId="0" xfId="53" applyFont="1" applyFill="1">
      <alignment/>
      <protection/>
    </xf>
    <xf numFmtId="0" fontId="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0" fontId="4" fillId="0" borderId="10" xfId="0" applyNumberFormat="1" applyFont="1" applyFill="1" applyBorder="1" applyAlignment="1">
      <alignment horizontal="center" wrapText="1"/>
    </xf>
    <xf numFmtId="0" fontId="90" fillId="0" borderId="10" xfId="36" applyFont="1" applyFill="1" applyBorder="1" applyAlignment="1" applyProtection="1">
      <alignment horizontal="justify" vertical="top" wrapText="1"/>
      <protection/>
    </xf>
    <xf numFmtId="0" fontId="0" fillId="34" borderId="0" xfId="0" applyFill="1" applyAlignment="1">
      <alignment/>
    </xf>
    <xf numFmtId="0" fontId="0" fillId="34" borderId="0" xfId="0" applyNumberFormat="1" applyFont="1" applyFill="1" applyAlignment="1" quotePrefix="1">
      <alignment horizontal="center"/>
    </xf>
    <xf numFmtId="0" fontId="90" fillId="0" borderId="10" xfId="36" applyBorder="1" applyAlignment="1" applyProtection="1">
      <alignment/>
      <protection/>
    </xf>
    <xf numFmtId="0" fontId="0" fillId="0" borderId="10" xfId="0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90" fillId="0" borderId="10" xfId="36" applyNumberFormat="1" applyBorder="1" applyAlignment="1" applyProtection="1">
      <alignment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4" fontId="3" fillId="39" borderId="127" xfId="0" applyNumberFormat="1" applyFont="1" applyFill="1" applyBorder="1" applyAlignment="1">
      <alignment horizontal="right" wrapText="1"/>
    </xf>
    <xf numFmtId="0" fontId="4" fillId="0" borderId="143" xfId="0" applyFont="1" applyBorder="1" applyAlignment="1">
      <alignment wrapText="1"/>
    </xf>
    <xf numFmtId="4" fontId="0" fillId="0" borderId="144" xfId="50" applyNumberFormat="1" applyFont="1" applyBorder="1" applyAlignment="1">
      <alignment/>
    </xf>
    <xf numFmtId="0" fontId="114" fillId="33" borderId="0" xfId="0" applyFont="1" applyFill="1" applyAlignment="1">
      <alignment horizontal="right"/>
    </xf>
    <xf numFmtId="0" fontId="90" fillId="0" borderId="13" xfId="36" applyBorder="1" applyAlignment="1" applyProtection="1">
      <alignment horizontal="left" vertical="top"/>
      <protection/>
    </xf>
    <xf numFmtId="0" fontId="90" fillId="0" borderId="31" xfId="36" applyBorder="1" applyAlignment="1" applyProtection="1">
      <alignment horizontal="left" vertical="top"/>
      <protection/>
    </xf>
    <xf numFmtId="0" fontId="8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34" borderId="14" xfId="57" applyFont="1" applyFill="1" applyBorder="1" applyAlignment="1" applyProtection="1">
      <alignment horizontal="center" vertical="center"/>
      <protection/>
    </xf>
    <xf numFmtId="0" fontId="8" fillId="34" borderId="38" xfId="57" applyFont="1" applyFill="1" applyBorder="1" applyAlignment="1" applyProtection="1">
      <alignment horizontal="center" vertical="center"/>
      <protection/>
    </xf>
    <xf numFmtId="0" fontId="8" fillId="34" borderId="32" xfId="57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8" fillId="0" borderId="145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124" xfId="0" applyFont="1" applyBorder="1" applyAlignment="1">
      <alignment vertical="center"/>
    </xf>
    <xf numFmtId="0" fontId="6" fillId="0" borderId="147" xfId="53" applyFont="1" applyBorder="1" applyAlignment="1">
      <alignment horizontal="center" vertical="center" wrapText="1"/>
      <protection/>
    </xf>
    <xf numFmtId="0" fontId="3" fillId="0" borderId="124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6" fillId="0" borderId="39" xfId="53" applyFont="1" applyBorder="1" applyAlignment="1">
      <alignment horizontal="center" vertical="center"/>
      <protection/>
    </xf>
    <xf numFmtId="0" fontId="6" fillId="0" borderId="124" xfId="53" applyFont="1" applyBorder="1" applyAlignment="1">
      <alignment horizontal="center" vertical="center"/>
      <protection/>
    </xf>
    <xf numFmtId="0" fontId="11" fillId="0" borderId="76" xfId="0" applyFont="1" applyBorder="1" applyAlignment="1">
      <alignment vertical="top" wrapText="1"/>
    </xf>
    <xf numFmtId="0" fontId="11" fillId="0" borderId="148" xfId="0" applyFont="1" applyBorder="1" applyAlignment="1">
      <alignment vertical="top" wrapText="1"/>
    </xf>
    <xf numFmtId="0" fontId="11" fillId="0" borderId="7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34" borderId="14" xfId="0" applyFont="1" applyFill="1" applyBorder="1" applyAlignment="1" quotePrefix="1">
      <alignment/>
    </xf>
    <xf numFmtId="0" fontId="0" fillId="34" borderId="38" xfId="0" applyFill="1" applyBorder="1" applyAlignment="1">
      <alignment/>
    </xf>
    <xf numFmtId="0" fontId="0" fillId="34" borderId="32" xfId="0" applyFill="1" applyBorder="1" applyAlignment="1">
      <alignment/>
    </xf>
    <xf numFmtId="0" fontId="11" fillId="0" borderId="73" xfId="0" applyFont="1" applyBorder="1" applyAlignment="1">
      <alignment vertical="top" wrapText="1"/>
    </xf>
    <xf numFmtId="0" fontId="11" fillId="0" borderId="149" xfId="0" applyFont="1" applyBorder="1" applyAlignment="1">
      <alignment vertical="top" wrapText="1"/>
    </xf>
    <xf numFmtId="0" fontId="24" fillId="0" borderId="58" xfId="53" applyFont="1" applyBorder="1" applyAlignment="1">
      <alignment horizontal="center"/>
      <protection/>
    </xf>
    <xf numFmtId="0" fontId="30" fillId="0" borderId="35" xfId="53" applyFont="1" applyBorder="1" applyAlignment="1">
      <alignment horizontal="center"/>
      <protection/>
    </xf>
    <xf numFmtId="0" fontId="30" fillId="0" borderId="61" xfId="53" applyFont="1" applyBorder="1" applyAlignment="1">
      <alignment horizontal="center"/>
      <protection/>
    </xf>
    <xf numFmtId="0" fontId="24" fillId="44" borderId="58" xfId="53" applyFont="1" applyFill="1" applyBorder="1" applyAlignment="1">
      <alignment horizontal="center"/>
      <protection/>
    </xf>
    <xf numFmtId="0" fontId="30" fillId="44" borderId="35" xfId="53" applyFont="1" applyFill="1" applyBorder="1" applyAlignment="1">
      <alignment horizontal="center"/>
      <protection/>
    </xf>
    <xf numFmtId="0" fontId="30" fillId="44" borderId="61" xfId="53" applyFont="1" applyFill="1" applyBorder="1" applyAlignment="1">
      <alignment horizont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38" xfId="55" applyFont="1" applyBorder="1" applyAlignment="1">
      <alignment horizontal="center" vertical="center"/>
      <protection/>
    </xf>
    <xf numFmtId="0" fontId="15" fillId="0" borderId="32" xfId="55" applyFont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3" fillId="0" borderId="32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35" fillId="0" borderId="10" xfId="53" applyFont="1" applyBorder="1" applyAlignment="1">
      <alignment horizontal="center" vertical="top" wrapText="1"/>
      <protection/>
    </xf>
    <xf numFmtId="0" fontId="8" fillId="0" borderId="1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21" fillId="0" borderId="10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120" fillId="0" borderId="13" xfId="53" applyFont="1" applyBorder="1" applyAlignment="1">
      <alignment horizontal="center" vertical="center"/>
      <protection/>
    </xf>
    <xf numFmtId="0" fontId="120" fillId="0" borderId="31" xfId="53" applyFont="1" applyBorder="1" applyAlignment="1">
      <alignment horizontal="center" vertical="center"/>
      <protection/>
    </xf>
    <xf numFmtId="0" fontId="19" fillId="0" borderId="14" xfId="53" applyFont="1" applyBorder="1" applyAlignment="1">
      <alignment wrapText="1"/>
      <protection/>
    </xf>
    <xf numFmtId="0" fontId="19" fillId="0" borderId="38" xfId="53" applyFont="1" applyBorder="1" applyAlignment="1">
      <alignment wrapText="1"/>
      <protection/>
    </xf>
    <xf numFmtId="0" fontId="19" fillId="0" borderId="32" xfId="53" applyFont="1" applyBorder="1" applyAlignment="1">
      <alignment wrapText="1"/>
      <protection/>
    </xf>
    <xf numFmtId="0" fontId="104" fillId="0" borderId="13" xfId="53" applyFont="1" applyBorder="1" applyAlignment="1">
      <alignment/>
      <protection/>
    </xf>
    <xf numFmtId="0" fontId="105" fillId="0" borderId="131" xfId="53" applyFont="1" applyBorder="1" applyAlignment="1">
      <alignment/>
      <protection/>
    </xf>
    <xf numFmtId="0" fontId="105" fillId="0" borderId="23" xfId="53" applyFont="1" applyBorder="1" applyAlignment="1">
      <alignment/>
      <protection/>
    </xf>
    <xf numFmtId="4" fontId="3" fillId="0" borderId="150" xfId="54" applyNumberFormat="1" applyFont="1" applyBorder="1" applyAlignment="1">
      <alignment horizontal="right" vertical="center"/>
      <protection/>
    </xf>
    <xf numFmtId="4" fontId="3" fillId="0" borderId="151" xfId="54" applyNumberFormat="1" applyFont="1" applyBorder="1" applyAlignment="1">
      <alignment horizontal="right" vertical="center"/>
      <protection/>
    </xf>
    <xf numFmtId="4" fontId="6" fillId="0" borderId="152" xfId="54" applyNumberFormat="1" applyFont="1" applyBorder="1" applyAlignment="1">
      <alignment horizontal="right" vertical="center"/>
      <protection/>
    </xf>
    <xf numFmtId="4" fontId="6" fillId="0" borderId="24" xfId="54" applyNumberFormat="1" applyFont="1" applyBorder="1" applyAlignment="1">
      <alignment horizontal="right" vertical="center"/>
      <protection/>
    </xf>
    <xf numFmtId="4" fontId="3" fillId="0" borderId="153" xfId="54" applyNumberFormat="1" applyFont="1" applyBorder="1" applyAlignment="1">
      <alignment horizontal="right" vertical="center"/>
      <protection/>
    </xf>
    <xf numFmtId="4" fontId="3" fillId="0" borderId="86" xfId="54" applyNumberFormat="1" applyFont="1" applyBorder="1" applyAlignment="1">
      <alignment horizontal="right" vertical="center"/>
      <protection/>
    </xf>
    <xf numFmtId="4" fontId="3" fillId="0" borderId="154" xfId="54" applyNumberFormat="1" applyFont="1" applyBorder="1" applyAlignment="1">
      <alignment horizontal="right" vertical="center"/>
      <protection/>
    </xf>
    <xf numFmtId="4" fontId="3" fillId="0" borderId="155" xfId="54" applyNumberFormat="1" applyFont="1" applyBorder="1" applyAlignment="1">
      <alignment horizontal="right" vertical="center"/>
      <protection/>
    </xf>
    <xf numFmtId="0" fontId="16" fillId="0" borderId="0" xfId="54" applyFont="1" applyBorder="1" applyAlignment="1">
      <alignment horizontal="left"/>
      <protection/>
    </xf>
    <xf numFmtId="0" fontId="16" fillId="0" borderId="0" xfId="54" applyFont="1" applyBorder="1" applyAlignment="1">
      <alignment horizontal="left" vertical="center"/>
      <protection/>
    </xf>
    <xf numFmtId="0" fontId="15" fillId="0" borderId="1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22" fillId="0" borderId="14" xfId="53" applyFont="1" applyFill="1" applyBorder="1" applyAlignment="1">
      <alignment horizontal="center" vertical="center"/>
      <protection/>
    </xf>
    <xf numFmtId="0" fontId="0" fillId="0" borderId="38" xfId="53" applyFont="1" applyBorder="1" applyAlignment="1">
      <alignment vertical="center"/>
      <protection/>
    </xf>
    <xf numFmtId="0" fontId="0" fillId="0" borderId="32" xfId="53" applyFont="1" applyBorder="1" applyAlignment="1">
      <alignment vertical="center"/>
      <protection/>
    </xf>
    <xf numFmtId="0" fontId="22" fillId="0" borderId="58" xfId="53" applyFont="1" applyFill="1" applyBorder="1" applyAlignment="1">
      <alignment horizontal="center" vertical="center"/>
      <protection/>
    </xf>
    <xf numFmtId="0" fontId="0" fillId="0" borderId="35" xfId="53" applyFont="1" applyBorder="1" applyAlignment="1">
      <alignment vertical="center"/>
      <protection/>
    </xf>
    <xf numFmtId="4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28" xfId="0" applyNumberFormat="1" applyFont="1" applyFill="1" applyBorder="1" applyAlignment="1">
      <alignment horizontal="center" vertical="center"/>
    </xf>
    <xf numFmtId="0" fontId="6" fillId="0" borderId="12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55" applyNumberFormat="1" applyFont="1" applyFill="1" applyBorder="1" applyAlignment="1">
      <alignment horizontal="center" wrapText="1"/>
      <protection/>
    </xf>
    <xf numFmtId="10" fontId="4" fillId="0" borderId="10" xfId="63" applyNumberFormat="1" applyFont="1" applyFill="1" applyBorder="1" applyAlignment="1">
      <alignment horizontal="center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Migliaia 3" xfId="49"/>
    <cellStyle name="Migliaia 4" xfId="50"/>
    <cellStyle name="Migliaia 5" xfId="51"/>
    <cellStyle name="Neutrale" xfId="52"/>
    <cellStyle name="Normale 2" xfId="53"/>
    <cellStyle name="Normale 2 2" xfId="54"/>
    <cellStyle name="Normale 3" xfId="55"/>
    <cellStyle name="Normale_Capacità di indebitamento" xfId="56"/>
    <cellStyle name="Normale_Foglio1" xfId="57"/>
    <cellStyle name="Nota" xfId="58"/>
    <cellStyle name="Output" xfId="59"/>
    <cellStyle name="Percent" xfId="60"/>
    <cellStyle name="Percentuale 2" xfId="61"/>
    <cellStyle name="Percentuale 3" xfId="62"/>
    <cellStyle name="Percentuale 4" xfId="63"/>
    <cellStyle name="Percentuale 5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rel.it/" TargetMode="External" /><Relationship Id="rId2" Type="http://schemas.openxmlformats.org/officeDocument/2006/relationships/image" Target="http://ancrel.clubdeirevisori.it/images/head_logo_home.gif" TargetMode="Externa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9525</xdr:rowOff>
    </xdr:from>
    <xdr:to>
      <xdr:col>3</xdr:col>
      <xdr:colOff>1447800</xdr:colOff>
      <xdr:row>25</xdr:row>
      <xdr:rowOff>133350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85725" y="3648075"/>
          <a:ext cx="6296025" cy="771525"/>
          <a:chOff x="1134" y="697"/>
          <a:chExt cx="9536" cy="1216"/>
        </a:xfrm>
        <a:solidFill>
          <a:srgbClr val="FFFFFF"/>
        </a:solidFill>
      </xdr:grpSpPr>
      <xdr:pic>
        <xdr:nvPicPr>
          <xdr:cNvPr id="2" name="Picture 2" descr="logo"/>
          <xdr:cNvPicPr preferRelativeResize="1">
            <a:picLocks noChangeAspect="1"/>
          </xdr:cNvPicPr>
        </xdr:nvPicPr>
        <xdr:blipFill>
          <a:blip r:link="rId2"/>
          <a:srcRect b="12460"/>
          <a:stretch>
            <a:fillRect/>
          </a:stretch>
        </xdr:blipFill>
        <xdr:spPr>
          <a:xfrm>
            <a:off x="1134" y="697"/>
            <a:ext cx="1275" cy="12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79" y="937"/>
            <a:ext cx="8191" cy="7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2419350</xdr:colOff>
      <xdr:row>29</xdr:row>
      <xdr:rowOff>152400</xdr:rowOff>
    </xdr:from>
    <xdr:to>
      <xdr:col>12</xdr:col>
      <xdr:colOff>2466975</xdr:colOff>
      <xdr:row>29</xdr:row>
      <xdr:rowOff>161925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2877800" y="63246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28</xdr:row>
      <xdr:rowOff>161925</xdr:rowOff>
    </xdr:from>
    <xdr:to>
      <xdr:col>12</xdr:col>
      <xdr:colOff>2466975</xdr:colOff>
      <xdr:row>28</xdr:row>
      <xdr:rowOff>161925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12877800" y="61722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28</xdr:row>
      <xdr:rowOff>161925</xdr:rowOff>
    </xdr:from>
    <xdr:to>
      <xdr:col>12</xdr:col>
      <xdr:colOff>2466975</xdr:colOff>
      <xdr:row>28</xdr:row>
      <xdr:rowOff>161925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12877800" y="61722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28</xdr:row>
      <xdr:rowOff>161925</xdr:rowOff>
    </xdr:from>
    <xdr:to>
      <xdr:col>12</xdr:col>
      <xdr:colOff>2466975</xdr:colOff>
      <xdr:row>28</xdr:row>
      <xdr:rowOff>161925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2877800" y="61722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66</xdr:row>
      <xdr:rowOff>152400</xdr:rowOff>
    </xdr:from>
    <xdr:to>
      <xdr:col>12</xdr:col>
      <xdr:colOff>2466975</xdr:colOff>
      <xdr:row>66</xdr:row>
      <xdr:rowOff>161925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12877800" y="139827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65</xdr:row>
      <xdr:rowOff>161925</xdr:rowOff>
    </xdr:from>
    <xdr:to>
      <xdr:col>12</xdr:col>
      <xdr:colOff>2466975</xdr:colOff>
      <xdr:row>65</xdr:row>
      <xdr:rowOff>161925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12877800" y="138303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65</xdr:row>
      <xdr:rowOff>161925</xdr:rowOff>
    </xdr:from>
    <xdr:to>
      <xdr:col>12</xdr:col>
      <xdr:colOff>2466975</xdr:colOff>
      <xdr:row>65</xdr:row>
      <xdr:rowOff>161925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12877800" y="138303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65</xdr:row>
      <xdr:rowOff>161925</xdr:rowOff>
    </xdr:from>
    <xdr:to>
      <xdr:col>12</xdr:col>
      <xdr:colOff>2466975</xdr:colOff>
      <xdr:row>65</xdr:row>
      <xdr:rowOff>161925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12877800" y="138303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91</xdr:row>
      <xdr:rowOff>152400</xdr:rowOff>
    </xdr:from>
    <xdr:to>
      <xdr:col>12</xdr:col>
      <xdr:colOff>2466975</xdr:colOff>
      <xdr:row>91</xdr:row>
      <xdr:rowOff>161925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12877800" y="1872615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90</xdr:row>
      <xdr:rowOff>161925</xdr:rowOff>
    </xdr:from>
    <xdr:to>
      <xdr:col>12</xdr:col>
      <xdr:colOff>2466975</xdr:colOff>
      <xdr:row>90</xdr:row>
      <xdr:rowOff>161925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12877800" y="1857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90</xdr:row>
      <xdr:rowOff>161925</xdr:rowOff>
    </xdr:from>
    <xdr:to>
      <xdr:col>12</xdr:col>
      <xdr:colOff>2466975</xdr:colOff>
      <xdr:row>90</xdr:row>
      <xdr:rowOff>161925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>
          <a:off x="12877800" y="1857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2419350</xdr:colOff>
      <xdr:row>90</xdr:row>
      <xdr:rowOff>161925</xdr:rowOff>
    </xdr:from>
    <xdr:to>
      <xdr:col>12</xdr:col>
      <xdr:colOff>2466975</xdr:colOff>
      <xdr:row>90</xdr:row>
      <xdr:rowOff>161925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12877800" y="1857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crelmarch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legge:2011-11-12;183~art31!vig=" TargetMode="External" /><Relationship Id="rId2" Type="http://schemas.openxmlformats.org/officeDocument/2006/relationships/hyperlink" Target="http://www.normattiva.it/uri-res/N2Ls?urn:nir:stato:legge:2011-11-12;183~art31!vig=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nagenzia.it/index.php/contrattazione/comparti/regioni-ed-autonomie-locali/contratti/419-ccnl-normativo-2002-2005-economico-2002-2003" TargetMode="External" /><Relationship Id="rId2" Type="http://schemas.openxmlformats.org/officeDocument/2006/relationships/hyperlink" Target="http://www.normattiva.it/uri-res/N2Ls?urn:nir:stato:decreto.legislativo:2000-08-18;267~art90!vig=" TargetMode="External" /><Relationship Id="rId3" Type="http://schemas.openxmlformats.org/officeDocument/2006/relationships/hyperlink" Target="http://www.normattiva.it/uri-res/N2Ls?urn:nir:stato:decreto.legislativo:2000-08-18;267~art110!vig=" TargetMode="External" /><Relationship Id="rId4" Type="http://schemas.openxmlformats.org/officeDocument/2006/relationships/hyperlink" Target="http://www.normattiva.it/uri-res/N2Ls?urn:nir:stato:decreto.legislativo:2000-08-18;267~art110!vig=" TargetMode="External" /><Relationship Id="rId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decreto.legislativo:2000-08-18;267~art204!vig=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decreto-%20%20%20%20%20%20%20%20%20%20%20%20legge:2007;159~art11!vig=" TargetMode="External" /><Relationship Id="rId2" Type="http://schemas.openxmlformats.org/officeDocument/2006/relationships/hyperlink" Target="http://www.normattiva.it/uri-res/N2Ls?urn:nir:stato:legge:2006-12-27;296~art!vig=" TargetMode="External" /><Relationship Id="rId3" Type="http://schemas.openxmlformats.org/officeDocument/2006/relationships/hyperlink" Target="http://www.normattiva.it/uri-res/N2Ls?urn:nir:stato:decreto.legge:1992-04-30;285~art208!vig=" TargetMode="External" /><Relationship Id="rId4" Type="http://schemas.openxmlformats.org/officeDocument/2006/relationships/hyperlink" Target="http://www.normattiva.it/uri-res/N2Ls?urn:nir:stato:decreto.legislativo:1993;507~art24!vig=" TargetMode="External" /><Relationship Id="rId5" Type="http://schemas.openxmlformats.org/officeDocument/2006/relationships/hyperlink" Target="http://www.normattiva.it/uri-res/N2Ls?urn:nir:stato:decreto.legge:1992-04-30;285~art7!vig=" TargetMode="External" /><Relationship Id="rId6" Type="http://schemas.openxmlformats.org/officeDocument/2006/relationships/hyperlink" Target="http://www.normattiva.it/uri-res/N2Ls?urn:nir:stato:decreto.legislativo:2010;022~ART16!VIG=" TargetMode="External" /><Relationship Id="rId7" Type="http://schemas.openxmlformats.org/officeDocument/2006/relationships/hyperlink" Target="http://www.normattiva.it/uri-res/N2Ls?urn:nir:stato:legge:1993-07-14;235~art3!vig=" TargetMode="External" /><Relationship Id="rId8" Type="http://schemas.openxmlformats.org/officeDocument/2006/relationships/hyperlink" Target="http://www.normattiva.it/uri-res/N2Ls?urn:nir:stato:decreto-%20%20%20%20%20%20%20%20%20%20%20%20legge:2007;159~art11!vig=" TargetMode="External" /><Relationship Id="rId9" Type="http://schemas.openxmlformats.org/officeDocument/2006/relationships/hyperlink" Target="http://www.normattiva.it/uri-res/N2Ls?urn:nir:stato:legge:2006-12-27;296~art!vig=" TargetMode="External" /><Relationship Id="rId10" Type="http://schemas.openxmlformats.org/officeDocument/2006/relationships/hyperlink" Target="http://www.normattiva.it/uri-res/N2Ls?urn:nir:stato:decreto.legge:1992-04-30;285~art208!vig=" TargetMode="External" /><Relationship Id="rId11" Type="http://schemas.openxmlformats.org/officeDocument/2006/relationships/hyperlink" Target="http://www.normattiva.it/uri-res/N2Ls?urn:nir:stato:decreto.legislativo:1993;507~art24!vig=" TargetMode="External" /><Relationship Id="rId12" Type="http://schemas.openxmlformats.org/officeDocument/2006/relationships/hyperlink" Target="http://www.normattiva.it/uri-res/N2Ls?urn:nir:stato:decreto.legge:1992-04-30;285~art7!vig=" TargetMode="External" /><Relationship Id="rId13" Type="http://schemas.openxmlformats.org/officeDocument/2006/relationships/hyperlink" Target="http://www.normattiva.it/uri-res/N2Ls?urn:nir:stato:decreto.legislativo:2010;022~ART16!VIG=" TargetMode="External" /><Relationship Id="rId14" Type="http://schemas.openxmlformats.org/officeDocument/2006/relationships/hyperlink" Target="http://www.normattiva.it/uri-res/N2Ls?urn:nir:stato:legge:1993-07-14;235~art3!vig=" TargetMode="External" /><Relationship Id="rId15" Type="http://schemas.openxmlformats.org/officeDocument/2006/relationships/hyperlink" Target="http://www.normattiva.it/uri-res/N2Ls?urn:nir:stato:decreto-%20%20%20%20%20%20%20%20%20%20%20%20legge:2007;159~art11!vig=" TargetMode="External" /><Relationship Id="rId16" Type="http://schemas.openxmlformats.org/officeDocument/2006/relationships/hyperlink" Target="http://www.normattiva.it/uri-res/N2Ls?urn:nir:stato:legge:2006-12-27;296~art!vig=" TargetMode="External" /><Relationship Id="rId17" Type="http://schemas.openxmlformats.org/officeDocument/2006/relationships/hyperlink" Target="http://www.normattiva.it/uri-res/N2Ls?urn:nir:stato:decreto.legge:1992-04-30;285~art208!vig=" TargetMode="External" /><Relationship Id="rId18" Type="http://schemas.openxmlformats.org/officeDocument/2006/relationships/hyperlink" Target="http://www.normattiva.it/uri-res/N2Ls?urn:nir:stato:decreto.legislativo:1993;507~art24!vig=" TargetMode="External" /><Relationship Id="rId19" Type="http://schemas.openxmlformats.org/officeDocument/2006/relationships/hyperlink" Target="http://www.normattiva.it/uri-res/N2Ls?urn:nir:stato:decreto.legge:1992-04-30;285~art7!vig=" TargetMode="External" /><Relationship Id="rId20" Type="http://schemas.openxmlformats.org/officeDocument/2006/relationships/hyperlink" Target="http://www.normattiva.it/uri-res/N2Ls?urn:nir:stato:decreto.legislativo:2010;022~ART16!VIG=" TargetMode="External" /><Relationship Id="rId21" Type="http://schemas.openxmlformats.org/officeDocument/2006/relationships/hyperlink" Target="http://www.normattiva.it/uri-res/N2Ls?urn:nir:stato:legge:1993-07-14;235~art3!vig=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51.8515625" style="0" bestFit="1" customWidth="1"/>
    <col min="2" max="2" width="20.7109375" style="504" customWidth="1"/>
    <col min="3" max="3" width="1.421875" style="0" customWidth="1"/>
    <col min="4" max="4" width="45.7109375" style="0" customWidth="1"/>
    <col min="5" max="5" width="20.7109375" style="0" customWidth="1"/>
  </cols>
  <sheetData>
    <row r="1" spans="1:4" ht="19.5" thickBot="1">
      <c r="A1" s="746" t="s">
        <v>1109</v>
      </c>
      <c r="B1" s="746"/>
      <c r="D1" s="751" t="s">
        <v>780</v>
      </c>
    </row>
    <row r="2" spans="1:4" ht="18.75" thickBot="1">
      <c r="A2" s="1100" t="s">
        <v>962</v>
      </c>
      <c r="B2" s="1100"/>
      <c r="D2" s="930"/>
    </row>
    <row r="3" spans="1:5" ht="15.75">
      <c r="A3" s="27" t="s">
        <v>774</v>
      </c>
      <c r="B3" s="745" t="s">
        <v>775</v>
      </c>
      <c r="D3" s="27" t="s">
        <v>774</v>
      </c>
      <c r="E3" s="745" t="s">
        <v>775</v>
      </c>
    </row>
    <row r="4" ht="15.75">
      <c r="A4" s="868" t="s">
        <v>87</v>
      </c>
    </row>
    <row r="5" spans="1:5" ht="12.75">
      <c r="A5" s="1086" t="s">
        <v>883</v>
      </c>
      <c r="B5" s="1092">
        <v>1</v>
      </c>
      <c r="D5" s="1086" t="s">
        <v>982</v>
      </c>
      <c r="E5" s="1087" t="s">
        <v>1101</v>
      </c>
    </row>
    <row r="6" spans="1:5" ht="12.75">
      <c r="A6" s="1086" t="s">
        <v>1047</v>
      </c>
      <c r="B6" s="1088" t="s">
        <v>1048</v>
      </c>
      <c r="D6" s="1086" t="s">
        <v>1102</v>
      </c>
      <c r="E6" s="1087" t="s">
        <v>1103</v>
      </c>
    </row>
    <row r="7" spans="1:5" ht="12.75">
      <c r="A7" s="1101" t="s">
        <v>889</v>
      </c>
      <c r="B7" s="1090" t="s">
        <v>1061</v>
      </c>
      <c r="D7" s="1086" t="s">
        <v>801</v>
      </c>
      <c r="E7" s="1092" t="s">
        <v>1104</v>
      </c>
    </row>
    <row r="8" spans="1:5" ht="12.75">
      <c r="A8" s="1102"/>
      <c r="B8" s="1091" t="s">
        <v>1064</v>
      </c>
      <c r="D8" s="1086" t="s">
        <v>802</v>
      </c>
      <c r="E8" s="1092">
        <v>43</v>
      </c>
    </row>
    <row r="9" spans="1:5" ht="12.75">
      <c r="A9" s="1086" t="s">
        <v>942</v>
      </c>
      <c r="B9" s="1087" t="s">
        <v>971</v>
      </c>
      <c r="D9" s="1086" t="s">
        <v>1105</v>
      </c>
      <c r="E9" s="1092" t="s">
        <v>1106</v>
      </c>
    </row>
    <row r="10" spans="1:5" ht="12.75">
      <c r="A10" s="1086" t="s">
        <v>795</v>
      </c>
      <c r="B10" s="1088" t="s">
        <v>1096</v>
      </c>
      <c r="D10" s="1093" t="s">
        <v>1107</v>
      </c>
      <c r="E10" s="1092">
        <v>47</v>
      </c>
    </row>
    <row r="11" spans="1:5" ht="12.75">
      <c r="A11" s="1086" t="s">
        <v>796</v>
      </c>
      <c r="B11" s="1087">
        <v>25</v>
      </c>
      <c r="D11" s="1086" t="s">
        <v>1108</v>
      </c>
      <c r="E11" s="1092">
        <v>48</v>
      </c>
    </row>
    <row r="12" spans="1:5" ht="12.75">
      <c r="A12" s="1086" t="s">
        <v>797</v>
      </c>
      <c r="B12" s="1089">
        <v>26</v>
      </c>
      <c r="E12" s="887"/>
    </row>
    <row r="13" spans="1:5" ht="12.75">
      <c r="A13" s="1086" t="s">
        <v>972</v>
      </c>
      <c r="B13" s="1088" t="s">
        <v>1097</v>
      </c>
      <c r="D13" s="1084"/>
      <c r="E13" s="1085"/>
    </row>
    <row r="14" spans="1:5" ht="12.75">
      <c r="A14" s="1086" t="s">
        <v>973</v>
      </c>
      <c r="B14" s="1087">
        <v>29</v>
      </c>
      <c r="D14" s="1084"/>
      <c r="E14" s="1085"/>
    </row>
    <row r="15" spans="1:5" ht="12.75">
      <c r="A15" s="1086" t="s">
        <v>293</v>
      </c>
      <c r="B15" s="1087" t="s">
        <v>1098</v>
      </c>
      <c r="D15" s="1084"/>
      <c r="E15" s="1085"/>
    </row>
    <row r="16" spans="1:5" ht="12.75">
      <c r="A16" s="1086" t="s">
        <v>1099</v>
      </c>
      <c r="B16" s="1089">
        <v>32</v>
      </c>
      <c r="D16" s="1084"/>
      <c r="E16" s="1085"/>
    </row>
    <row r="17" spans="1:5" ht="12.75">
      <c r="A17" s="1086" t="s">
        <v>813</v>
      </c>
      <c r="B17" s="1089">
        <v>33</v>
      </c>
      <c r="D17" s="1084"/>
      <c r="E17" s="1085"/>
    </row>
    <row r="18" spans="1:5" ht="12.75">
      <c r="A18" s="1086" t="s">
        <v>848</v>
      </c>
      <c r="B18" s="1089">
        <v>34</v>
      </c>
      <c r="D18" s="1084"/>
      <c r="E18" s="1085"/>
    </row>
    <row r="19" spans="1:5" ht="12.75">
      <c r="A19" s="1086" t="s">
        <v>4</v>
      </c>
      <c r="B19" s="1087" t="s">
        <v>1100</v>
      </c>
      <c r="D19" s="1084"/>
      <c r="E19" s="1085"/>
    </row>
    <row r="20" ht="12.75">
      <c r="E20" s="887"/>
    </row>
    <row r="21" ht="12.75">
      <c r="E21" s="887"/>
    </row>
    <row r="22" ht="12.75">
      <c r="E22" s="887"/>
    </row>
    <row r="23" ht="12.75">
      <c r="E23" s="887"/>
    </row>
  </sheetData>
  <sheetProtection/>
  <mergeCells count="2">
    <mergeCell ref="A2:B2"/>
    <mergeCell ref="A7:A8"/>
  </mergeCells>
  <hyperlinks>
    <hyperlink ref="A4" location="'Inserimento dati'!A1" display="Inserimento dati"/>
    <hyperlink ref="D1" r:id="rId1" display="mailto:ancrelmarche@gmail.com"/>
    <hyperlink ref="A7" location="'Equilibrio corr e cap'!A1" display="suddivisione gestione corrente e conto capitale"/>
    <hyperlink ref="A10" location="'Entrate Tributarie'!A1" display="Entrate Tributarie"/>
    <hyperlink ref="A11" location="'recupero evasione'!A1" display="recupero evasione"/>
    <hyperlink ref="A12" location="'Servizi cons'!A1" display="Servizi"/>
    <hyperlink ref="A13" location="'codice della strada'!A1" display="codice della strada"/>
    <hyperlink ref="A14" location="'spese x intervento'!A1" display="spese x intervento"/>
    <hyperlink ref="A15" location="'Spese per il personale'!A1" display="Spese per il personale"/>
    <hyperlink ref="A19" location="'Spese in conto capitale'!A1" display="Spese in conto capitale"/>
    <hyperlink ref="D7" location="Indebitamento!A1" display="Indebitamento"/>
    <hyperlink ref="D5" location="leasing!A1" display="leasing"/>
    <hyperlink ref="A17" location="'ORGANISMI PARTECIPATI'!A1" display="ORGANISMI PARTECIPATI"/>
    <hyperlink ref="A18" location="'Organismi controllati'!A1" display="Organismi controllati"/>
    <hyperlink ref="A5" location="situazione_di_cassa" display="Situazione cassa"/>
    <hyperlink ref="A6" location="'Quadro gen riass'!A1" display="Quadro generale riassuntivo"/>
    <hyperlink ref="A9" location="'patto stabilità prev'!A1" display="Patto stabilità"/>
    <hyperlink ref="A16" location="'Riduzioni spesa'!A1" display="Riduzioni di spesa"/>
    <hyperlink ref="D6" location="'Capacità indebitamento'!A1" display="Capacità di indebitamento"/>
    <hyperlink ref="D8" location="Derivati!A1" display="Derivati"/>
    <hyperlink ref="D9" location="'pluriennale gen'!A1" display="Pluriennale generale"/>
    <hyperlink ref="D10" location="'pluriennale spesa'!A1" display="Pluriennale spesa"/>
    <hyperlink ref="D11" location="'copertura invest'!A1" display="Copertura pluriennale investiment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3" width="30.7109375" style="0" customWidth="1"/>
    <col min="4" max="4" width="14.7109375" style="0" customWidth="1"/>
  </cols>
  <sheetData>
    <row r="1" spans="1:6" ht="12.75">
      <c r="A1" s="7" t="s">
        <v>616</v>
      </c>
      <c r="F1" s="555" t="s">
        <v>624</v>
      </c>
    </row>
    <row r="2" spans="4:6" ht="12.75">
      <c r="D2" s="855" t="str">
        <f>"Tab. 11 - "&amp;Comune</f>
        <v>Tab. 11 - </v>
      </c>
      <c r="F2" s="748" t="s">
        <v>777</v>
      </c>
    </row>
    <row r="3" spans="1:4" ht="12.75">
      <c r="A3" s="1131" t="s">
        <v>1060</v>
      </c>
      <c r="B3" s="1132"/>
      <c r="C3" s="1132"/>
      <c r="D3" s="1133"/>
    </row>
    <row r="4" spans="1:4" ht="24">
      <c r="A4" s="554" t="s">
        <v>617</v>
      </c>
      <c r="B4" s="1006"/>
      <c r="C4" s="554" t="s">
        <v>618</v>
      </c>
      <c r="D4" s="1006"/>
    </row>
    <row r="5" spans="1:4" ht="36">
      <c r="A5" s="554" t="s">
        <v>634</v>
      </c>
      <c r="B5" s="1006"/>
      <c r="C5" s="576" t="s">
        <v>619</v>
      </c>
      <c r="D5" s="1006"/>
    </row>
    <row r="6" spans="1:4" ht="36">
      <c r="A6" s="554" t="s">
        <v>635</v>
      </c>
      <c r="B6" s="1006"/>
      <c r="C6" s="576" t="s">
        <v>636</v>
      </c>
      <c r="D6" s="1006"/>
    </row>
    <row r="7" spans="1:4" ht="36">
      <c r="A7" s="554" t="s">
        <v>620</v>
      </c>
      <c r="B7" s="1006"/>
      <c r="C7" s="576" t="s">
        <v>621</v>
      </c>
      <c r="D7" s="1006"/>
    </row>
    <row r="8" spans="1:4" ht="48">
      <c r="A8" s="554" t="s">
        <v>622</v>
      </c>
      <c r="B8" s="1007">
        <f>SUM(B4:B7)</f>
        <v>0</v>
      </c>
      <c r="C8" s="576" t="s">
        <v>623</v>
      </c>
      <c r="D8" s="1007">
        <f>SUM(D4:D7)</f>
        <v>0</v>
      </c>
    </row>
    <row r="10" spans="1:4" ht="12.75">
      <c r="A10" s="1008" t="s">
        <v>203</v>
      </c>
      <c r="B10" s="1009">
        <f>+B8-ASCOP14</f>
        <v>0</v>
      </c>
      <c r="C10" s="1010"/>
      <c r="D10" s="928">
        <f>+D8-ASCAP14</f>
        <v>0</v>
      </c>
    </row>
  </sheetData>
  <sheetProtection/>
  <mergeCells count="1">
    <mergeCell ref="A3:D3"/>
  </mergeCells>
  <hyperlinks>
    <hyperlink ref="F1" location="'Inserimento dati'!A1" display="InsDati"/>
    <hyperlink ref="F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4" width="16.7109375" style="0" customWidth="1"/>
    <col min="5" max="5" width="14.7109375" style="0" customWidth="1"/>
    <col min="6" max="6" width="29.421875" style="0" bestFit="1" customWidth="1"/>
    <col min="7" max="11" width="9.7109375" style="0" customWidth="1"/>
    <col min="12" max="12" width="10.7109375" style="0" customWidth="1"/>
  </cols>
  <sheetData>
    <row r="1" spans="1:6" ht="12.75">
      <c r="A1" s="3" t="s">
        <v>928</v>
      </c>
      <c r="B1" s="5"/>
      <c r="C1" s="5"/>
      <c r="D1" s="5"/>
      <c r="F1" s="555" t="s">
        <v>624</v>
      </c>
    </row>
    <row r="2" spans="1:6" ht="12.75">
      <c r="A2" s="3"/>
      <c r="B2" s="5"/>
      <c r="C2" s="5"/>
      <c r="D2" s="855" t="str">
        <f>"Tab. 10 - Comune di "&amp;Comune</f>
        <v>Tab. 10 - Comune di </v>
      </c>
      <c r="F2" s="748" t="s">
        <v>777</v>
      </c>
    </row>
    <row r="3" spans="2:4" ht="12.75">
      <c r="B3" s="1134" t="s">
        <v>178</v>
      </c>
      <c r="C3" s="1135"/>
      <c r="D3" s="1136" t="s">
        <v>197</v>
      </c>
    </row>
    <row r="4" spans="1:4" ht="12.75">
      <c r="A4" s="141"/>
      <c r="B4" s="72" t="s">
        <v>180</v>
      </c>
      <c r="C4" s="142" t="s">
        <v>181</v>
      </c>
      <c r="D4" s="1137"/>
    </row>
    <row r="5" spans="1:4" ht="3.75" customHeight="1" thickBot="1">
      <c r="A5" s="141"/>
      <c r="B5" s="143"/>
      <c r="C5" s="143"/>
      <c r="D5" s="144"/>
    </row>
    <row r="6" spans="1:4" ht="3.75" customHeight="1">
      <c r="A6" s="141"/>
      <c r="B6" s="141"/>
      <c r="C6" s="145"/>
      <c r="D6" s="145"/>
    </row>
    <row r="7" spans="1:4" ht="12.75">
      <c r="A7" s="146" t="s">
        <v>925</v>
      </c>
      <c r="B7" s="84"/>
      <c r="C7" s="84"/>
      <c r="D7" s="857">
        <f>+'Saldo cassa'!D6</f>
        <v>0</v>
      </c>
    </row>
    <row r="8" spans="1:4" ht="12.75">
      <c r="A8" s="146" t="s">
        <v>198</v>
      </c>
      <c r="B8" s="85">
        <f>+'Saldo cassa'!B7</f>
        <v>0</v>
      </c>
      <c r="C8" s="85">
        <f>+'Saldo cassa'!C7</f>
        <v>0</v>
      </c>
      <c r="D8" s="857">
        <f>B8+C8</f>
        <v>0</v>
      </c>
    </row>
    <row r="9" spans="1:4" ht="13.5" thickBot="1">
      <c r="A9" s="146" t="s">
        <v>199</v>
      </c>
      <c r="B9" s="85">
        <f>+'Saldo cassa'!B8</f>
        <v>0</v>
      </c>
      <c r="C9" s="85">
        <f>+'Saldo cassa'!C8</f>
        <v>0</v>
      </c>
      <c r="D9" s="857">
        <f>B9+C9</f>
        <v>0</v>
      </c>
    </row>
    <row r="10" spans="1:4" ht="13.5" thickBot="1">
      <c r="A10" s="1138" t="s">
        <v>926</v>
      </c>
      <c r="B10" s="1139"/>
      <c r="C10" s="147"/>
      <c r="D10" s="858">
        <f>D7+D8-D9</f>
        <v>0</v>
      </c>
    </row>
    <row r="11" spans="1:4" ht="12.75">
      <c r="A11" s="148" t="s">
        <v>200</v>
      </c>
      <c r="B11" s="149"/>
      <c r="C11" s="149"/>
      <c r="D11" s="859">
        <v>0</v>
      </c>
    </row>
    <row r="12" spans="1:4" ht="12.75">
      <c r="A12" s="150" t="s">
        <v>16</v>
      </c>
      <c r="B12" s="151"/>
      <c r="C12" s="151"/>
      <c r="D12" s="860">
        <f>D10-D11</f>
        <v>0</v>
      </c>
    </row>
    <row r="13" spans="1:4" ht="12.75">
      <c r="A13" s="146" t="s">
        <v>201</v>
      </c>
      <c r="B13" s="85">
        <v>0</v>
      </c>
      <c r="C13" s="85">
        <v>0</v>
      </c>
      <c r="D13" s="857">
        <f>B13+C13</f>
        <v>0</v>
      </c>
    </row>
    <row r="14" spans="1:4" ht="12.75">
      <c r="A14" s="146" t="s">
        <v>202</v>
      </c>
      <c r="B14" s="85">
        <v>0</v>
      </c>
      <c r="C14" s="85">
        <v>0</v>
      </c>
      <c r="D14" s="857">
        <f>B14+C14</f>
        <v>0</v>
      </c>
    </row>
    <row r="15" spans="1:4" ht="12.75">
      <c r="A15" s="152" t="s">
        <v>16</v>
      </c>
      <c r="B15" s="153"/>
      <c r="C15" s="153"/>
      <c r="D15" s="861">
        <f>D13-D14</f>
        <v>0</v>
      </c>
    </row>
    <row r="16" spans="1:4" ht="13.5" thickBot="1">
      <c r="A16" s="1140" t="s">
        <v>927</v>
      </c>
      <c r="B16" s="1141"/>
      <c r="C16" s="1142"/>
      <c r="D16" s="91">
        <f>D12+D15</f>
        <v>0</v>
      </c>
    </row>
    <row r="17" ht="13.5" thickTop="1"/>
    <row r="18" spans="3:4" ht="12.75">
      <c r="C18" s="869" t="s">
        <v>203</v>
      </c>
      <c r="D18" s="870">
        <f>+AVA13-D16</f>
        <v>0</v>
      </c>
    </row>
    <row r="20" spans="1:12" ht="12.75">
      <c r="A20" s="3" t="s">
        <v>935</v>
      </c>
      <c r="F20" s="6" t="s">
        <v>601</v>
      </c>
      <c r="G20" s="6" t="s">
        <v>601</v>
      </c>
      <c r="L20" s="855" t="str">
        <f>"Tab. 11/a - Comune di "&amp;Comune</f>
        <v>Tab. 11/a - Comune di </v>
      </c>
    </row>
    <row r="21" spans="4:12" ht="45">
      <c r="D21" s="855" t="str">
        <f>"Tab. 11 - Comune di "&amp;Comune</f>
        <v>Tab. 11 - Comune di </v>
      </c>
      <c r="F21" s="699" t="s">
        <v>998</v>
      </c>
      <c r="G21" s="937" t="s">
        <v>995</v>
      </c>
      <c r="H21" s="937" t="s">
        <v>996</v>
      </c>
      <c r="I21" s="937" t="s">
        <v>999</v>
      </c>
      <c r="J21" s="937" t="s">
        <v>1000</v>
      </c>
      <c r="K21" s="937" t="s">
        <v>997</v>
      </c>
      <c r="L21" s="937" t="s">
        <v>46</v>
      </c>
    </row>
    <row r="22" spans="2:12" ht="12.75">
      <c r="B22" s="12">
        <v>2011</v>
      </c>
      <c r="C22" s="12">
        <v>2012</v>
      </c>
      <c r="D22" s="12">
        <v>2013</v>
      </c>
      <c r="F22" s="942" t="s">
        <v>987</v>
      </c>
      <c r="G22" s="713">
        <v>0</v>
      </c>
      <c r="H22" s="941" t="s">
        <v>857</v>
      </c>
      <c r="I22" s="941" t="s">
        <v>857</v>
      </c>
      <c r="J22" s="941" t="s">
        <v>857</v>
      </c>
      <c r="K22" s="713">
        <v>0</v>
      </c>
      <c r="L22" s="938">
        <v>0</v>
      </c>
    </row>
    <row r="23" spans="1:12" ht="12.75">
      <c r="A23" s="2" t="s">
        <v>929</v>
      </c>
      <c r="B23" s="28">
        <f>+AVA11</f>
        <v>0</v>
      </c>
      <c r="C23" s="28">
        <f>+AVA12</f>
        <v>0</v>
      </c>
      <c r="D23" s="28">
        <f>+AVA13</f>
        <v>0</v>
      </c>
      <c r="F23" s="943" t="s">
        <v>988</v>
      </c>
      <c r="G23" s="941" t="s">
        <v>857</v>
      </c>
      <c r="H23" s="941" t="s">
        <v>857</v>
      </c>
      <c r="I23" s="941" t="s">
        <v>857</v>
      </c>
      <c r="J23" s="941" t="s">
        <v>857</v>
      </c>
      <c r="K23" s="713">
        <v>0</v>
      </c>
      <c r="L23" s="938">
        <v>0</v>
      </c>
    </row>
    <row r="24" spans="1:12" ht="12.75">
      <c r="A24" s="2" t="s">
        <v>456</v>
      </c>
      <c r="B24" s="28"/>
      <c r="C24" s="28"/>
      <c r="D24" s="28"/>
      <c r="F24" s="942" t="s">
        <v>989</v>
      </c>
      <c r="G24" s="941" t="s">
        <v>857</v>
      </c>
      <c r="H24" s="941" t="s">
        <v>857</v>
      </c>
      <c r="I24" s="941" t="s">
        <v>857</v>
      </c>
      <c r="J24" s="941" t="s">
        <v>857</v>
      </c>
      <c r="K24" s="713">
        <v>0</v>
      </c>
      <c r="L24" s="938">
        <v>0</v>
      </c>
    </row>
    <row r="25" spans="1:12" ht="12.75">
      <c r="A25" s="2" t="s">
        <v>930</v>
      </c>
      <c r="B25" s="28"/>
      <c r="C25" s="28"/>
      <c r="D25" s="28"/>
      <c r="F25" s="943" t="s">
        <v>990</v>
      </c>
      <c r="G25" s="941" t="s">
        <v>857</v>
      </c>
      <c r="H25" s="941" t="s">
        <v>857</v>
      </c>
      <c r="I25" s="941" t="s">
        <v>857</v>
      </c>
      <c r="J25" s="941" t="s">
        <v>857</v>
      </c>
      <c r="K25" s="713">
        <v>0</v>
      </c>
      <c r="L25" s="938">
        <v>0</v>
      </c>
    </row>
    <row r="26" spans="1:12" ht="12.75">
      <c r="A26" s="2" t="s">
        <v>931</v>
      </c>
      <c r="B26" s="28"/>
      <c r="C26" s="28"/>
      <c r="D26" s="28"/>
      <c r="F26" s="942" t="s">
        <v>991</v>
      </c>
      <c r="G26" s="941" t="s">
        <v>857</v>
      </c>
      <c r="H26" s="713">
        <v>0</v>
      </c>
      <c r="I26" s="941" t="s">
        <v>857</v>
      </c>
      <c r="J26" s="941" t="s">
        <v>857</v>
      </c>
      <c r="K26" s="713">
        <v>0</v>
      </c>
      <c r="L26" s="938">
        <v>0</v>
      </c>
    </row>
    <row r="27" spans="1:12" ht="22.5">
      <c r="A27" s="2" t="s">
        <v>932</v>
      </c>
      <c r="B27" s="28"/>
      <c r="C27" s="28"/>
      <c r="D27" s="28"/>
      <c r="F27" s="943" t="s">
        <v>992</v>
      </c>
      <c r="G27" s="941" t="s">
        <v>857</v>
      </c>
      <c r="H27" s="941" t="s">
        <v>857</v>
      </c>
      <c r="I27" s="713">
        <v>0</v>
      </c>
      <c r="J27" s="941" t="s">
        <v>857</v>
      </c>
      <c r="K27" s="941" t="s">
        <v>857</v>
      </c>
      <c r="L27" s="938">
        <v>0</v>
      </c>
    </row>
    <row r="28" spans="1:12" ht="12.75">
      <c r="A28" s="2" t="s">
        <v>933</v>
      </c>
      <c r="B28" s="28"/>
      <c r="C28" s="28"/>
      <c r="D28" s="28"/>
      <c r="F28" s="942" t="s">
        <v>993</v>
      </c>
      <c r="G28" s="941" t="s">
        <v>857</v>
      </c>
      <c r="H28" s="941" t="s">
        <v>857</v>
      </c>
      <c r="I28" s="941" t="s">
        <v>857</v>
      </c>
      <c r="J28" s="713">
        <v>0</v>
      </c>
      <c r="K28" s="713">
        <v>0</v>
      </c>
      <c r="L28" s="938">
        <v>0</v>
      </c>
    </row>
    <row r="29" spans="1:12" ht="12.75">
      <c r="A29" s="2" t="s">
        <v>934</v>
      </c>
      <c r="B29" s="28"/>
      <c r="C29" s="28"/>
      <c r="D29" s="28"/>
      <c r="F29" s="936" t="s">
        <v>994</v>
      </c>
      <c r="G29" s="939">
        <v>0</v>
      </c>
      <c r="H29" s="939">
        <v>0</v>
      </c>
      <c r="I29" s="939">
        <v>0</v>
      </c>
      <c r="J29" s="939">
        <v>0</v>
      </c>
      <c r="K29" s="939">
        <v>0</v>
      </c>
      <c r="L29" s="940">
        <v>0</v>
      </c>
    </row>
    <row r="31" spans="1:4" ht="12.75">
      <c r="A31" s="869" t="s">
        <v>203</v>
      </c>
      <c r="B31" s="870">
        <f>+AVA11-SUM(B25:B29)</f>
        <v>0</v>
      </c>
      <c r="C31" s="870">
        <f>+AVA12-SUM(C25:C29)</f>
        <v>0</v>
      </c>
      <c r="D31" s="870">
        <f>+AVA13-SUM(D25:D29)</f>
        <v>0</v>
      </c>
    </row>
    <row r="37" ht="12.75" customHeight="1"/>
    <row r="45" ht="12.75" customHeight="1"/>
  </sheetData>
  <sheetProtection/>
  <mergeCells count="4">
    <mergeCell ref="B3:C3"/>
    <mergeCell ref="D3:D4"/>
    <mergeCell ref="A10:B10"/>
    <mergeCell ref="A16:C16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8.7109375" style="0" customWidth="1"/>
    <col min="2" max="4" width="14.7109375" style="0" customWidth="1"/>
    <col min="5" max="5" width="12.7109375" style="0" customWidth="1"/>
  </cols>
  <sheetData>
    <row r="1" spans="1:4" ht="12.75">
      <c r="A1" s="5"/>
      <c r="B1" s="5"/>
      <c r="D1" s="555" t="s">
        <v>624</v>
      </c>
    </row>
    <row r="2" spans="1:4" ht="12.75">
      <c r="A2" s="3" t="s">
        <v>937</v>
      </c>
      <c r="B2" s="5"/>
      <c r="D2" s="748" t="s">
        <v>777</v>
      </c>
    </row>
    <row r="3" spans="1:3" ht="12" customHeight="1">
      <c r="A3" s="5"/>
      <c r="B3" s="5"/>
      <c r="C3" s="855" t="str">
        <f>"Tab. 12 - Comune di "&amp;Comune</f>
        <v>Tab. 12 - Comune di </v>
      </c>
    </row>
    <row r="4" spans="1:3" ht="15">
      <c r="A4" s="944" t="s">
        <v>204</v>
      </c>
      <c r="C4" s="12">
        <v>2013</v>
      </c>
    </row>
    <row r="5" spans="1:3" ht="12.75">
      <c r="A5" s="763" t="s">
        <v>211</v>
      </c>
      <c r="B5" s="764"/>
      <c r="C5" s="762">
        <f>+TE13</f>
        <v>0</v>
      </c>
    </row>
    <row r="6" spans="1:3" ht="12.75">
      <c r="A6" s="763" t="s">
        <v>212</v>
      </c>
      <c r="B6" s="764"/>
      <c r="C6" s="79">
        <f>+TS13</f>
        <v>0</v>
      </c>
    </row>
    <row r="7" spans="1:3" ht="13.5" thickBot="1">
      <c r="A7" s="90" t="s">
        <v>205</v>
      </c>
      <c r="B7" s="765"/>
      <c r="C7" s="91">
        <f>C5-C6</f>
        <v>0</v>
      </c>
    </row>
    <row r="8" spans="1:3" ht="19.5" thickTop="1">
      <c r="A8" s="945" t="s">
        <v>206</v>
      </c>
      <c r="C8" s="92"/>
    </row>
    <row r="9" spans="1:3" ht="12.75">
      <c r="A9" s="763" t="s">
        <v>213</v>
      </c>
      <c r="B9" s="764"/>
      <c r="C9" s="762">
        <f>+MAGRA13</f>
        <v>0</v>
      </c>
    </row>
    <row r="10" spans="1:3" ht="12.75">
      <c r="A10" s="763" t="s">
        <v>215</v>
      </c>
      <c r="B10" s="764"/>
      <c r="C10" s="762">
        <f>+MINRA13</f>
        <v>0</v>
      </c>
    </row>
    <row r="11" spans="1:3" ht="12.75">
      <c r="A11" s="763" t="s">
        <v>214</v>
      </c>
      <c r="B11" s="764"/>
      <c r="C11" s="762">
        <f>+MINRP13</f>
        <v>0</v>
      </c>
    </row>
    <row r="12" spans="1:3" ht="13.5" thickBot="1">
      <c r="A12" s="90" t="s">
        <v>207</v>
      </c>
      <c r="B12" s="765"/>
      <c r="C12" s="91">
        <f>+SGR13</f>
        <v>0</v>
      </c>
    </row>
    <row r="13" spans="1:3" ht="20.25" thickTop="1">
      <c r="A13" s="946" t="s">
        <v>208</v>
      </c>
      <c r="C13" s="93"/>
    </row>
    <row r="14" spans="1:3" ht="12.75">
      <c r="A14" s="763" t="s">
        <v>205</v>
      </c>
      <c r="B14" s="764"/>
      <c r="C14" s="762">
        <f>+TE13-TS13</f>
        <v>0</v>
      </c>
    </row>
    <row r="15" spans="1:3" ht="12.75">
      <c r="A15" s="763" t="s">
        <v>207</v>
      </c>
      <c r="B15" s="764"/>
      <c r="C15" s="762">
        <f>+SGR13</f>
        <v>0</v>
      </c>
    </row>
    <row r="16" spans="1:3" ht="12.75">
      <c r="A16" s="763" t="s">
        <v>209</v>
      </c>
      <c r="B16" s="764"/>
      <c r="C16" s="762">
        <f>+ASCO13+ASCA13</f>
        <v>0</v>
      </c>
    </row>
    <row r="17" spans="1:3" ht="12.75">
      <c r="A17" s="763" t="s">
        <v>210</v>
      </c>
      <c r="B17" s="764"/>
      <c r="C17" s="762">
        <f>+AVA12-ASCO13-ASCA13</f>
        <v>0</v>
      </c>
    </row>
    <row r="18" spans="1:3" ht="13.5" thickBot="1">
      <c r="A18" s="90" t="s">
        <v>936</v>
      </c>
      <c r="B18" s="765"/>
      <c r="C18" s="91">
        <f>SUM(C14:C17)</f>
        <v>0</v>
      </c>
    </row>
    <row r="19" spans="1:2" ht="13.5" thickTop="1">
      <c r="A19" s="89"/>
      <c r="B19" s="94"/>
    </row>
    <row r="21" spans="1:3" ht="12.75">
      <c r="A21" s="459" t="s">
        <v>523</v>
      </c>
      <c r="B21" s="460"/>
      <c r="C21" s="461"/>
    </row>
  </sheetData>
  <sheetProtection/>
  <hyperlinks>
    <hyperlink ref="D1" location="'Inserimento dati'!A1" display="InsDati"/>
    <hyperlink ref="D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3" sqref="A3"/>
    </sheetView>
  </sheetViews>
  <sheetFormatPr defaultColWidth="9.140625" defaultRowHeight="12.75" outlineLevelCol="1"/>
  <cols>
    <col min="1" max="1" width="9.140625" style="21" customWidth="1"/>
    <col min="2" max="2" width="25.421875" style="21" customWidth="1"/>
    <col min="3" max="3" width="14.140625" style="21" hidden="1" customWidth="1" outlineLevel="1"/>
    <col min="4" max="4" width="14.140625" style="21" customWidth="1" collapsed="1"/>
    <col min="5" max="6" width="14.140625" style="21" customWidth="1"/>
    <col min="7" max="16384" width="9.140625" style="21" customWidth="1"/>
  </cols>
  <sheetData>
    <row r="1" spans="1:8" ht="15.75">
      <c r="A1" s="100" t="s">
        <v>938</v>
      </c>
      <c r="B1" s="101"/>
      <c r="C1" s="101"/>
      <c r="D1" s="101"/>
      <c r="E1" s="101"/>
      <c r="H1" s="555" t="s">
        <v>624</v>
      </c>
    </row>
    <row r="2" spans="1:8" ht="15">
      <c r="A2" s="101"/>
      <c r="B2" s="101"/>
      <c r="C2" s="101"/>
      <c r="D2" s="101"/>
      <c r="E2" s="101"/>
      <c r="H2" s="748" t="s">
        <v>777</v>
      </c>
    </row>
    <row r="3" spans="1:8" ht="10.5" customHeight="1">
      <c r="A3" s="101"/>
      <c r="B3" s="101"/>
      <c r="C3" s="101"/>
      <c r="D3" s="101"/>
      <c r="E3" s="101"/>
      <c r="F3" s="855" t="str">
        <f>"Tab. 13 - Comune di "&amp;Comune</f>
        <v>Tab. 13 - Comune di </v>
      </c>
      <c r="H3"/>
    </row>
    <row r="4" spans="1:6" ht="15.75">
      <c r="A4" s="1145" t="s">
        <v>1</v>
      </c>
      <c r="B4" s="1145"/>
      <c r="C4" s="102">
        <v>2009</v>
      </c>
      <c r="D4" s="102">
        <v>2011</v>
      </c>
      <c r="E4" s="102">
        <f>+D4+1</f>
        <v>2012</v>
      </c>
      <c r="F4" s="102">
        <f>+E4+1</f>
        <v>2013</v>
      </c>
    </row>
    <row r="5" spans="1:6" ht="15">
      <c r="A5" s="103" t="s">
        <v>73</v>
      </c>
      <c r="B5" s="104" t="s">
        <v>218</v>
      </c>
      <c r="C5" s="105" t="e">
        <f>+Entrate_titolo_primo_cons_2009</f>
        <v>#NAME?</v>
      </c>
      <c r="D5" s="105">
        <f>+ET1C11</f>
        <v>0</v>
      </c>
      <c r="E5" s="105">
        <f>+ET1C12</f>
        <v>0</v>
      </c>
      <c r="F5" s="105">
        <f>+ET1C13</f>
        <v>0</v>
      </c>
    </row>
    <row r="6" spans="1:6" ht="24">
      <c r="A6" s="106" t="s">
        <v>74</v>
      </c>
      <c r="B6" s="107" t="s">
        <v>228</v>
      </c>
      <c r="C6" s="108" t="e">
        <f>+Entrate_titolo_secondo_cons_2009</f>
        <v>#NAME?</v>
      </c>
      <c r="D6" s="108">
        <f>+ET2C11</f>
        <v>0</v>
      </c>
      <c r="E6" s="108">
        <f>+ET2C12</f>
        <v>0</v>
      </c>
      <c r="F6" s="108">
        <f>+ET2C13</f>
        <v>0</v>
      </c>
    </row>
    <row r="7" spans="1:6" ht="15">
      <c r="A7" s="106" t="s">
        <v>75</v>
      </c>
      <c r="B7" s="109" t="s">
        <v>5</v>
      </c>
      <c r="C7" s="108" t="e">
        <f>+Entrate_titolo_terzo_cons_2009</f>
        <v>#NAME?</v>
      </c>
      <c r="D7" s="108">
        <f>+ET3C11</f>
        <v>0</v>
      </c>
      <c r="E7" s="108">
        <f>+ET3C12</f>
        <v>0</v>
      </c>
      <c r="F7" s="108">
        <f>+ET3C13</f>
        <v>0</v>
      </c>
    </row>
    <row r="8" spans="1:6" ht="15">
      <c r="A8" s="106" t="s">
        <v>76</v>
      </c>
      <c r="B8" s="107" t="s">
        <v>219</v>
      </c>
      <c r="C8" s="108" t="e">
        <f>+Entrate_titolo_quarto_cons_2009</f>
        <v>#NAME?</v>
      </c>
      <c r="D8" s="108">
        <f>+ET4C11</f>
        <v>0</v>
      </c>
      <c r="E8" s="108">
        <f>+ET4C12</f>
        <v>0</v>
      </c>
      <c r="F8" s="108">
        <f>+ET4C13</f>
        <v>0</v>
      </c>
    </row>
    <row r="9" spans="1:6" ht="15">
      <c r="A9" s="110" t="s">
        <v>77</v>
      </c>
      <c r="B9" s="111" t="s">
        <v>220</v>
      </c>
      <c r="C9" s="112" t="e">
        <f>+Entrate_titolo_quinto_cons_2009</f>
        <v>#NAME?</v>
      </c>
      <c r="D9" s="112">
        <f>+ET5C11</f>
        <v>0</v>
      </c>
      <c r="E9" s="112">
        <f>+ET5C12</f>
        <v>0</v>
      </c>
      <c r="F9" s="112">
        <f>+ET5C13</f>
        <v>0</v>
      </c>
    </row>
    <row r="10" spans="1:6" ht="15">
      <c r="A10" s="113" t="s">
        <v>221</v>
      </c>
      <c r="B10" s="114" t="s">
        <v>229</v>
      </c>
      <c r="C10" s="115" t="e">
        <f>+Entrate_titolo_sesto_cons_2009</f>
        <v>#NAME?</v>
      </c>
      <c r="D10" s="115">
        <f>+ET6C11</f>
        <v>0</v>
      </c>
      <c r="E10" s="115">
        <f>+ET6C12</f>
        <v>0</v>
      </c>
      <c r="F10" s="115">
        <f>+ET6C13</f>
        <v>0</v>
      </c>
    </row>
    <row r="11" spans="1:6" ht="15.75" thickBot="1">
      <c r="A11" s="1146" t="s">
        <v>230</v>
      </c>
      <c r="B11" s="1147"/>
      <c r="C11" s="116" t="e">
        <f>SUM(C5:C10)</f>
        <v>#NAME?</v>
      </c>
      <c r="D11" s="116">
        <f>SUM(D5:D10)</f>
        <v>0</v>
      </c>
      <c r="E11" s="116">
        <f>SUM(E5:E10)</f>
        <v>0</v>
      </c>
      <c r="F11" s="116">
        <f>SUM(F5:F10)</f>
        <v>0</v>
      </c>
    </row>
    <row r="12" spans="1:6" ht="7.5" customHeight="1" thickTop="1">
      <c r="A12" s="117"/>
      <c r="B12" s="117"/>
      <c r="C12" s="118"/>
      <c r="D12" s="118"/>
      <c r="E12" s="118"/>
      <c r="F12" s="118"/>
    </row>
    <row r="13" spans="1:6" ht="15.75">
      <c r="A13" s="1145" t="s">
        <v>2</v>
      </c>
      <c r="B13" s="1145"/>
      <c r="C13" s="102">
        <f>+C4</f>
        <v>2009</v>
      </c>
      <c r="D13" s="102">
        <f>+D4</f>
        <v>2011</v>
      </c>
      <c r="E13" s="102">
        <f>+E4</f>
        <v>2012</v>
      </c>
      <c r="F13" s="102">
        <f>+F4</f>
        <v>2013</v>
      </c>
    </row>
    <row r="14" spans="1:6" ht="15">
      <c r="A14" s="106" t="s">
        <v>74</v>
      </c>
      <c r="B14" s="104" t="s">
        <v>3</v>
      </c>
      <c r="C14" s="105" t="e">
        <f>+Spese_titolo_primo_cons_2009</f>
        <v>#NAME?</v>
      </c>
      <c r="D14" s="105">
        <f>+ST1C11</f>
        <v>0</v>
      </c>
      <c r="E14" s="105">
        <f>+ST1C12</f>
        <v>0</v>
      </c>
      <c r="F14" s="105">
        <f>+ST1C13</f>
        <v>0</v>
      </c>
    </row>
    <row r="15" spans="1:6" ht="15">
      <c r="A15" s="106" t="s">
        <v>74</v>
      </c>
      <c r="B15" s="111" t="s">
        <v>231</v>
      </c>
      <c r="C15" s="108" t="e">
        <f>+Spese_titolo_secondo_cons_2009</f>
        <v>#NAME?</v>
      </c>
      <c r="D15" s="108">
        <f>+ST2C11</f>
        <v>0</v>
      </c>
      <c r="E15" s="108">
        <f>+ST2C12</f>
        <v>0</v>
      </c>
      <c r="F15" s="108">
        <f>+ST2C13</f>
        <v>0</v>
      </c>
    </row>
    <row r="16" spans="1:6" ht="15">
      <c r="A16" s="106" t="s">
        <v>75</v>
      </c>
      <c r="B16" s="111" t="s">
        <v>223</v>
      </c>
      <c r="C16" s="112" t="e">
        <f>+Spese_titolo_terzo_cons_2009</f>
        <v>#NAME?</v>
      </c>
      <c r="D16" s="112">
        <f>+ST3C11</f>
        <v>0</v>
      </c>
      <c r="E16" s="112">
        <f>+ST3C12</f>
        <v>0</v>
      </c>
      <c r="F16" s="112">
        <f>+ST3C13</f>
        <v>0</v>
      </c>
    </row>
    <row r="17" spans="1:6" ht="15">
      <c r="A17" s="113" t="s">
        <v>76</v>
      </c>
      <c r="B17" s="119" t="s">
        <v>232</v>
      </c>
      <c r="C17" s="115" t="e">
        <f>+Spese_titolo_quarto_cons_2009</f>
        <v>#NAME?</v>
      </c>
      <c r="D17" s="115">
        <f>+ST4C11</f>
        <v>0</v>
      </c>
      <c r="E17" s="115">
        <f>+ST4C12</f>
        <v>0</v>
      </c>
      <c r="F17" s="115">
        <f>+ST4C13</f>
        <v>0</v>
      </c>
    </row>
    <row r="18" spans="1:6" ht="15.75" thickBot="1">
      <c r="A18" s="1146" t="s">
        <v>233</v>
      </c>
      <c r="B18" s="1147"/>
      <c r="C18" s="116" t="e">
        <f>SUM(C14:C17)</f>
        <v>#NAME?</v>
      </c>
      <c r="D18" s="116">
        <f>SUM(D14:D17)</f>
        <v>0</v>
      </c>
      <c r="E18" s="116">
        <f>SUM(E14:E17)</f>
        <v>0</v>
      </c>
      <c r="F18" s="116">
        <f>SUM(F14:F17)</f>
        <v>0</v>
      </c>
    </row>
    <row r="19" spans="1:6" ht="8.25" customHeight="1" thickTop="1">
      <c r="A19" s="120"/>
      <c r="B19" s="121"/>
      <c r="C19" s="122"/>
      <c r="D19" s="122"/>
      <c r="E19" s="122"/>
      <c r="F19" s="122"/>
    </row>
    <row r="20" spans="1:6" ht="15.75" thickBot="1">
      <c r="A20" s="1143" t="s">
        <v>234</v>
      </c>
      <c r="B20" s="1144"/>
      <c r="C20" s="116" t="e">
        <f>C11-C18</f>
        <v>#NAME?</v>
      </c>
      <c r="D20" s="116">
        <f>+D11-D18</f>
        <v>0</v>
      </c>
      <c r="E20" s="116">
        <f>E11-E18</f>
        <v>0</v>
      </c>
      <c r="F20" s="116">
        <f>F11-F18</f>
        <v>0</v>
      </c>
    </row>
    <row r="21" spans="1:6" ht="8.25" customHeight="1" thickTop="1">
      <c r="A21" s="117"/>
      <c r="B21" s="117"/>
      <c r="C21" s="118"/>
      <c r="D21" s="118"/>
      <c r="E21" s="118"/>
      <c r="F21" s="118"/>
    </row>
    <row r="22" spans="1:6" ht="15.75" thickBot="1">
      <c r="A22" s="1143" t="s">
        <v>235</v>
      </c>
      <c r="B22" s="1144"/>
      <c r="C22" s="116" t="e">
        <f>+Avanzo_x_spesa_corrente_cons_2009+Avanzo_x_spesa_capitale_cons_2009</f>
        <v>#NAME?</v>
      </c>
      <c r="D22" s="116">
        <f>+ASCO11+ASCA11</f>
        <v>0</v>
      </c>
      <c r="E22" s="116">
        <f>+ASCO12+ASCA12</f>
        <v>0</v>
      </c>
      <c r="F22" s="116">
        <f>+ASCO13+ASCA13</f>
        <v>0</v>
      </c>
    </row>
    <row r="23" spans="1:6" ht="15.75" thickTop="1">
      <c r="A23" s="117"/>
      <c r="B23" s="117"/>
      <c r="C23" s="118"/>
      <c r="D23" s="118"/>
      <c r="E23" s="118"/>
      <c r="F23" s="118"/>
    </row>
    <row r="24" spans="1:6" ht="15.75" thickBot="1">
      <c r="A24" s="1143" t="s">
        <v>236</v>
      </c>
      <c r="B24" s="1144"/>
      <c r="C24" s="116" t="e">
        <f>C20+C22</f>
        <v>#NAME?</v>
      </c>
      <c r="D24" s="116">
        <f>D20+D22</f>
        <v>0</v>
      </c>
      <c r="E24" s="116">
        <f>E20+E22</f>
        <v>0</v>
      </c>
      <c r="F24" s="116">
        <f>F20+F22</f>
        <v>0</v>
      </c>
    </row>
    <row r="25" ht="15.75" thickTop="1"/>
    <row r="26" spans="1:6" ht="15">
      <c r="A26" s="470" t="s">
        <v>939</v>
      </c>
      <c r="B26" s="470"/>
      <c r="C26" s="470"/>
      <c r="D26" s="471">
        <f>+TE11-D11</f>
        <v>0</v>
      </c>
      <c r="E26" s="471">
        <f>+TE12-E11</f>
        <v>0</v>
      </c>
      <c r="F26" s="471">
        <f>+TE13-F11</f>
        <v>0</v>
      </c>
    </row>
    <row r="27" spans="1:6" ht="15">
      <c r="A27" s="470" t="s">
        <v>940</v>
      </c>
      <c r="B27" s="470"/>
      <c r="C27" s="470"/>
      <c r="D27" s="471">
        <f>+TS11-D18</f>
        <v>0</v>
      </c>
      <c r="E27" s="471">
        <f>+TS12-E18</f>
        <v>0</v>
      </c>
      <c r="F27" s="471">
        <f>+TS13-F18</f>
        <v>0</v>
      </c>
    </row>
    <row r="28" spans="1:6" ht="15">
      <c r="A28" s="470" t="s">
        <v>941</v>
      </c>
      <c r="B28" s="470"/>
      <c r="C28" s="470"/>
      <c r="D28" s="471">
        <f>+AVA11-D20</f>
        <v>0</v>
      </c>
      <c r="E28" s="471">
        <f>+AVA12-E20</f>
        <v>0</v>
      </c>
      <c r="F28" s="471">
        <f>+AVA13-F20</f>
        <v>0</v>
      </c>
    </row>
    <row r="31" spans="1:6" ht="15">
      <c r="A31" s="459" t="s">
        <v>523</v>
      </c>
      <c r="B31" s="460"/>
      <c r="C31" s="460"/>
      <c r="D31" s="460"/>
      <c r="E31" s="460"/>
      <c r="F31" s="461"/>
    </row>
  </sheetData>
  <sheetProtection/>
  <mergeCells count="7">
    <mergeCell ref="A24:B24"/>
    <mergeCell ref="A4:B4"/>
    <mergeCell ref="A11:B11"/>
    <mergeCell ref="A13:B13"/>
    <mergeCell ref="A18:B18"/>
    <mergeCell ref="A20:B20"/>
    <mergeCell ref="A22:B22"/>
  </mergeCell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="115" zoomScaleNormal="115" zoomScalePageLayoutView="0" workbookViewId="0" topLeftCell="A1">
      <selection activeCell="A4" sqref="A4"/>
    </sheetView>
  </sheetViews>
  <sheetFormatPr defaultColWidth="9.140625" defaultRowHeight="12.75"/>
  <cols>
    <col min="1" max="1" width="58.8515625" style="21" customWidth="1"/>
    <col min="2" max="2" width="15.7109375" style="21" customWidth="1"/>
    <col min="3" max="16384" width="9.140625" style="21" customWidth="1"/>
  </cols>
  <sheetData>
    <row r="1" spans="1:5" ht="15.75">
      <c r="A1" s="100" t="s">
        <v>950</v>
      </c>
      <c r="E1" s="555" t="s">
        <v>624</v>
      </c>
    </row>
    <row r="2" spans="1:5" ht="15.75">
      <c r="A2" s="100"/>
      <c r="E2" s="748" t="s">
        <v>777</v>
      </c>
    </row>
    <row r="3" ht="3.75" customHeight="1">
      <c r="E3" s="578"/>
    </row>
    <row r="4" spans="1:2" ht="15">
      <c r="A4" s="855" t="str">
        <f>"Tab. 14 - Comune di "&amp;Comune</f>
        <v>Tab. 14 - Comune di </v>
      </c>
      <c r="B4" s="12">
        <v>2013</v>
      </c>
    </row>
    <row r="5" spans="1:2" ht="15">
      <c r="A5" s="540" t="s">
        <v>943</v>
      </c>
      <c r="B5" s="29">
        <v>0</v>
      </c>
    </row>
    <row r="6" spans="1:2" ht="15">
      <c r="A6" s="539" t="s">
        <v>788</v>
      </c>
      <c r="B6" s="28"/>
    </row>
    <row r="7" spans="1:2" ht="15">
      <c r="A7" s="539" t="s">
        <v>789</v>
      </c>
      <c r="B7" s="28"/>
    </row>
    <row r="8" spans="1:2" ht="15">
      <c r="A8" s="540" t="s">
        <v>790</v>
      </c>
      <c r="B8" s="29">
        <f>SUM(B6:B7)</f>
        <v>0</v>
      </c>
    </row>
    <row r="9" spans="1:2" ht="15">
      <c r="A9" s="539" t="s">
        <v>791</v>
      </c>
      <c r="B9" s="28"/>
    </row>
    <row r="10" spans="1:2" ht="15">
      <c r="A10" s="766" t="s">
        <v>792</v>
      </c>
      <c r="B10" s="28"/>
    </row>
    <row r="11" spans="1:2" ht="15">
      <c r="A11" s="540" t="s">
        <v>793</v>
      </c>
      <c r="B11" s="29">
        <f>SUM(B9:B10)</f>
        <v>0</v>
      </c>
    </row>
    <row r="12" spans="1:2" ht="15">
      <c r="A12" s="540" t="s">
        <v>944</v>
      </c>
      <c r="B12" s="29">
        <f>B8-B11</f>
        <v>0</v>
      </c>
    </row>
    <row r="13" spans="1:2" ht="15">
      <c r="A13" s="767" t="s">
        <v>945</v>
      </c>
      <c r="B13" s="28"/>
    </row>
    <row r="14" spans="1:2" ht="15">
      <c r="A14" s="767" t="s">
        <v>946</v>
      </c>
      <c r="B14" s="28"/>
    </row>
    <row r="15" spans="1:2" ht="15">
      <c r="A15" s="767" t="s">
        <v>947</v>
      </c>
      <c r="B15" s="28">
        <f>+B13-B14</f>
        <v>0</v>
      </c>
    </row>
    <row r="16" spans="1:2" ht="15">
      <c r="A16" s="540" t="s">
        <v>948</v>
      </c>
      <c r="B16" s="29">
        <f>+B5-B15</f>
        <v>0</v>
      </c>
    </row>
    <row r="17" spans="1:2" ht="15">
      <c r="A17" s="540" t="s">
        <v>949</v>
      </c>
      <c r="B17" s="29">
        <f>+B12-B16</f>
        <v>0</v>
      </c>
    </row>
    <row r="24" spans="1:5" ht="15">
      <c r="A24" s="459" t="s">
        <v>523</v>
      </c>
      <c r="B24" s="460"/>
      <c r="C24" s="460"/>
      <c r="D24" s="460"/>
      <c r="E24" s="461"/>
    </row>
  </sheetData>
  <sheetProtection/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11.57421875" style="579" customWidth="1"/>
    <col min="2" max="3" width="17.7109375" style="579" customWidth="1"/>
    <col min="4" max="4" width="20.00390625" style="579" customWidth="1"/>
    <col min="5" max="5" width="9.140625" style="579" customWidth="1"/>
    <col min="6" max="6" width="48.8515625" style="579" bestFit="1" customWidth="1"/>
    <col min="7" max="7" width="14.28125" style="579" customWidth="1"/>
    <col min="8" max="9" width="13.7109375" style="579" customWidth="1"/>
    <col min="10" max="16384" width="9.140625" style="579" customWidth="1"/>
  </cols>
  <sheetData>
    <row r="1" spans="1:5" ht="12.75">
      <c r="A1" s="578" t="s">
        <v>1065</v>
      </c>
      <c r="E1" s="555" t="s">
        <v>624</v>
      </c>
    </row>
    <row r="2" spans="1:5" ht="12" customHeight="1">
      <c r="A2" s="578"/>
      <c r="C2" s="855" t="str">
        <f>"Tab. 18 - "&amp;Comune</f>
        <v>Tab. 18 - </v>
      </c>
      <c r="E2" s="748" t="s">
        <v>777</v>
      </c>
    </row>
    <row r="3" spans="1:5" ht="12.75">
      <c r="A3" s="580" t="s">
        <v>637</v>
      </c>
      <c r="B3" s="580" t="s">
        <v>301</v>
      </c>
      <c r="C3" s="580" t="s">
        <v>638</v>
      </c>
      <c r="E3" s="578"/>
    </row>
    <row r="4" spans="1:5" ht="12.75">
      <c r="A4" s="581">
        <v>2009</v>
      </c>
      <c r="B4" s="582">
        <f>+ST1C09</f>
        <v>0</v>
      </c>
      <c r="C4" s="581"/>
      <c r="E4" s="578"/>
    </row>
    <row r="5" spans="1:5" ht="12.75">
      <c r="A5" s="581">
        <f>+A4+1</f>
        <v>2010</v>
      </c>
      <c r="B5" s="582">
        <f>+ST1C10</f>
        <v>0</v>
      </c>
      <c r="C5" s="581"/>
      <c r="E5" s="578"/>
    </row>
    <row r="6" spans="1:5" ht="12.75">
      <c r="A6" s="581">
        <f>+A5+1</f>
        <v>2011</v>
      </c>
      <c r="B6" s="582">
        <f>+ST1C11</f>
        <v>0</v>
      </c>
      <c r="C6" s="1011">
        <f>+ROUND(AVERAGE(B4:B6),2)</f>
        <v>0</v>
      </c>
      <c r="E6" s="578"/>
    </row>
    <row r="7" ht="12.75">
      <c r="E7" s="578"/>
    </row>
    <row r="9" spans="1:6" ht="12.75">
      <c r="A9" s="578" t="s">
        <v>1067</v>
      </c>
      <c r="F9" s="583" t="s">
        <v>1069</v>
      </c>
    </row>
    <row r="10" spans="1:9" ht="12.75">
      <c r="A10" s="578"/>
      <c r="D10" s="855" t="str">
        <f>"Tab. 19 - "&amp;Comune</f>
        <v>Tab. 19 - </v>
      </c>
      <c r="I10" s="855" t="str">
        <f>"Tab. 21 - "&amp;Comune</f>
        <v>Tab. 21 - </v>
      </c>
    </row>
    <row r="11" spans="1:9" ht="25.5">
      <c r="A11" s="580" t="s">
        <v>637</v>
      </c>
      <c r="B11" s="584" t="s">
        <v>1066</v>
      </c>
      <c r="C11" s="580" t="s">
        <v>639</v>
      </c>
      <c r="D11" s="584" t="s">
        <v>640</v>
      </c>
      <c r="F11" s="585"/>
      <c r="G11" s="586">
        <v>2014</v>
      </c>
      <c r="H11" s="586">
        <f>+G11+1</f>
        <v>2015</v>
      </c>
      <c r="I11" s="586">
        <f>+H11+1</f>
        <v>2016</v>
      </c>
    </row>
    <row r="12" spans="1:9" ht="12.75">
      <c r="A12" s="580">
        <v>2014</v>
      </c>
      <c r="B12" s="582">
        <f>+spesa_media_patto</f>
        <v>0</v>
      </c>
      <c r="C12" s="587">
        <v>15.07</v>
      </c>
      <c r="D12" s="582">
        <f>+ROUND(B12*C12%,2)</f>
        <v>0</v>
      </c>
      <c r="F12" s="588" t="s">
        <v>641</v>
      </c>
      <c r="G12" s="589">
        <f>+ECOP14</f>
        <v>0</v>
      </c>
      <c r="H12" s="589">
        <f>+ECOP15</f>
        <v>0</v>
      </c>
      <c r="I12" s="589">
        <f>+ECOP16</f>
        <v>0</v>
      </c>
    </row>
    <row r="13" spans="1:9" ht="12.75">
      <c r="A13" s="580">
        <f>+A12+1</f>
        <v>2015</v>
      </c>
      <c r="B13" s="582">
        <f>+spesa_media_patto</f>
        <v>0</v>
      </c>
      <c r="C13" s="587">
        <v>15.07</v>
      </c>
      <c r="D13" s="582">
        <f>+ROUND(B13*C13%,2)</f>
        <v>0</v>
      </c>
      <c r="F13" s="588" t="s">
        <v>642</v>
      </c>
      <c r="G13" s="589">
        <f>+ST1P14</f>
        <v>0</v>
      </c>
      <c r="H13" s="589">
        <f>+ST1P15</f>
        <v>0</v>
      </c>
      <c r="I13" s="589">
        <f>+ST1P16</f>
        <v>0</v>
      </c>
    </row>
    <row r="14" spans="1:9" ht="12.75">
      <c r="A14" s="580">
        <f>+A13+1</f>
        <v>2016</v>
      </c>
      <c r="B14" s="582">
        <f>+spesa_media_patto</f>
        <v>0</v>
      </c>
      <c r="C14" s="587">
        <v>15.62</v>
      </c>
      <c r="D14" s="582">
        <f>+ROUND(B14*C14%,2)</f>
        <v>0</v>
      </c>
      <c r="F14" s="588" t="s">
        <v>643</v>
      </c>
      <c r="G14" s="589">
        <f>G12-G13</f>
        <v>0</v>
      </c>
      <c r="H14" s="589">
        <f>H12-H13</f>
        <v>0</v>
      </c>
      <c r="I14" s="589">
        <f>I12-I13</f>
        <v>0</v>
      </c>
    </row>
    <row r="15" spans="6:9" ht="12.75">
      <c r="F15" s="595" t="s">
        <v>644</v>
      </c>
      <c r="G15" s="589"/>
      <c r="H15" s="589"/>
      <c r="I15" s="589"/>
    </row>
    <row r="16" spans="1:9" ht="12.75">
      <c r="A16" s="578" t="s">
        <v>1068</v>
      </c>
      <c r="F16" s="590" t="s">
        <v>645</v>
      </c>
      <c r="G16" s="591">
        <f>G14-G15</f>
        <v>0</v>
      </c>
      <c r="H16" s="591">
        <f>H14-H15</f>
        <v>0</v>
      </c>
      <c r="I16" s="591">
        <f>I14-I15</f>
        <v>0</v>
      </c>
    </row>
    <row r="17" spans="6:9" ht="12.75">
      <c r="F17" s="592" t="s">
        <v>646</v>
      </c>
      <c r="G17" s="589"/>
      <c r="H17" s="589"/>
      <c r="I17" s="589"/>
    </row>
    <row r="18" spans="1:9" ht="12.75">
      <c r="A18" s="578" t="s">
        <v>601</v>
      </c>
      <c r="D18" s="855" t="str">
        <f>"Tab. 19 - "&amp;Comune</f>
        <v>Tab. 19 - </v>
      </c>
      <c r="F18" s="593" t="s">
        <v>647</v>
      </c>
      <c r="G18" s="589"/>
      <c r="H18" s="589"/>
      <c r="I18" s="589"/>
    </row>
    <row r="19" spans="1:9" ht="25.5">
      <c r="A19" s="580" t="s">
        <v>637</v>
      </c>
      <c r="B19" s="584" t="s">
        <v>1066</v>
      </c>
      <c r="C19" s="580" t="s">
        <v>639</v>
      </c>
      <c r="D19" s="584" t="s">
        <v>640</v>
      </c>
      <c r="F19" s="593" t="s">
        <v>643</v>
      </c>
      <c r="G19" s="589">
        <f>G17-G18</f>
        <v>0</v>
      </c>
      <c r="H19" s="589">
        <f>H17-H18</f>
        <v>0</v>
      </c>
      <c r="I19" s="589">
        <f>I17-I18</f>
        <v>0</v>
      </c>
    </row>
    <row r="20" spans="1:9" ht="12.75">
      <c r="A20" s="580">
        <v>2014</v>
      </c>
      <c r="B20" s="582">
        <f>+spesa_media_patto</f>
        <v>0</v>
      </c>
      <c r="C20" s="587">
        <v>20.25</v>
      </c>
      <c r="D20" s="582">
        <f>+ROUND(B20*C20%,2)</f>
        <v>0</v>
      </c>
      <c r="F20" s="596" t="s">
        <v>648</v>
      </c>
      <c r="G20" s="589">
        <v>0</v>
      </c>
      <c r="H20" s="589">
        <v>0</v>
      </c>
      <c r="I20" s="589">
        <v>0</v>
      </c>
    </row>
    <row r="21" spans="1:9" ht="12.75">
      <c r="A21" s="580">
        <f>+A20+1</f>
        <v>2015</v>
      </c>
      <c r="B21" s="582">
        <f>+spesa_media_patto</f>
        <v>0</v>
      </c>
      <c r="C21" s="587">
        <v>20.25</v>
      </c>
      <c r="D21" s="582">
        <f>+ROUND(B21*C21%,2)</f>
        <v>0</v>
      </c>
      <c r="F21" s="594" t="s">
        <v>649</v>
      </c>
      <c r="G21" s="591">
        <f>G19-G20</f>
        <v>0</v>
      </c>
      <c r="H21" s="591">
        <f>H19-H20</f>
        <v>0</v>
      </c>
      <c r="I21" s="591">
        <f>I19-I20</f>
        <v>0</v>
      </c>
    </row>
    <row r="22" spans="1:9" ht="12.75">
      <c r="A22" s="580">
        <f>+A21+1</f>
        <v>2016</v>
      </c>
      <c r="B22" s="582">
        <f>+spesa_media_patto</f>
        <v>0</v>
      </c>
      <c r="C22" s="587">
        <v>21.05</v>
      </c>
      <c r="D22" s="582">
        <f>+ROUND(B22*C22%,2)</f>
        <v>0</v>
      </c>
      <c r="F22" s="594" t="s">
        <v>650</v>
      </c>
      <c r="G22" s="591">
        <f>G16+G21</f>
        <v>0</v>
      </c>
      <c r="H22" s="591">
        <f>H16+H21</f>
        <v>0</v>
      </c>
      <c r="I22" s="591">
        <f>I16+I21</f>
        <v>0</v>
      </c>
    </row>
    <row r="24" ht="12.75">
      <c r="A24" s="578" t="s">
        <v>651</v>
      </c>
    </row>
    <row r="25" spans="1:4" ht="12.75">
      <c r="A25" s="578"/>
      <c r="D25" s="855" t="str">
        <f>"Tab. 20 - "&amp;Comune</f>
        <v>Tab. 20 - </v>
      </c>
    </row>
    <row r="26" spans="1:4" ht="34.5" customHeight="1">
      <c r="A26" s="1094" t="s">
        <v>637</v>
      </c>
      <c r="B26" s="1094" t="s">
        <v>652</v>
      </c>
      <c r="C26" s="1096" t="s">
        <v>1111</v>
      </c>
      <c r="D26" s="1095" t="s">
        <v>1110</v>
      </c>
    </row>
    <row r="27" spans="1:4" ht="16.5" customHeight="1">
      <c r="A27" s="580">
        <v>2014</v>
      </c>
      <c r="B27" s="582">
        <f>+D12</f>
        <v>0</v>
      </c>
      <c r="C27" s="582">
        <v>0</v>
      </c>
      <c r="D27" s="582">
        <f>B27-C27</f>
        <v>0</v>
      </c>
    </row>
    <row r="28" spans="1:4" ht="16.5" customHeight="1">
      <c r="A28" s="580">
        <f>+A27+1</f>
        <v>2015</v>
      </c>
      <c r="B28" s="582">
        <f>+D13</f>
        <v>0</v>
      </c>
      <c r="C28" s="582">
        <v>0</v>
      </c>
      <c r="D28" s="582">
        <f>B28-C28</f>
        <v>0</v>
      </c>
    </row>
    <row r="29" spans="1:4" ht="16.5" customHeight="1">
      <c r="A29" s="580">
        <f>+A28+1</f>
        <v>2016</v>
      </c>
      <c r="B29" s="582">
        <f>+D14</f>
        <v>0</v>
      </c>
      <c r="C29" s="582">
        <v>0</v>
      </c>
      <c r="D29" s="582">
        <f>B29-C29</f>
        <v>0</v>
      </c>
    </row>
    <row r="30" ht="16.5" customHeight="1"/>
    <row r="31" ht="16.5" customHeight="1"/>
    <row r="32" ht="12.75">
      <c r="A32" s="578" t="s">
        <v>653</v>
      </c>
    </row>
    <row r="33" spans="1:4" ht="12.75">
      <c r="A33" s="578"/>
      <c r="D33" s="855" t="str">
        <f>"Tab. 22 - "&amp;Comune</f>
        <v>Tab. 22 - </v>
      </c>
    </row>
    <row r="34" spans="1:4" ht="22.5">
      <c r="A34" s="580" t="s">
        <v>637</v>
      </c>
      <c r="B34" s="580" t="s">
        <v>654</v>
      </c>
      <c r="C34" s="1096" t="s">
        <v>1114</v>
      </c>
      <c r="D34" s="580" t="s">
        <v>655</v>
      </c>
    </row>
    <row r="35" spans="1:4" ht="19.5" customHeight="1">
      <c r="A35" s="580">
        <v>2014</v>
      </c>
      <c r="B35" s="582">
        <f>+G22</f>
        <v>0</v>
      </c>
      <c r="C35" s="582">
        <f>+D27</f>
        <v>0</v>
      </c>
      <c r="D35" s="582">
        <f>+B35-C35</f>
        <v>0</v>
      </c>
    </row>
    <row r="36" spans="1:4" ht="19.5" customHeight="1">
      <c r="A36" s="580">
        <f>+A35+1</f>
        <v>2015</v>
      </c>
      <c r="B36" s="582">
        <f>+H22</f>
        <v>0</v>
      </c>
      <c r="C36" s="582">
        <f>+D28</f>
        <v>0</v>
      </c>
      <c r="D36" s="582">
        <f>+B36-C36</f>
        <v>0</v>
      </c>
    </row>
    <row r="37" spans="1:4" ht="19.5" customHeight="1">
      <c r="A37" s="580">
        <f>+A36+1</f>
        <v>2016</v>
      </c>
      <c r="B37" s="582">
        <f>+I22</f>
        <v>0</v>
      </c>
      <c r="C37" s="582">
        <f>+D29</f>
        <v>0</v>
      </c>
      <c r="D37" s="582">
        <f>+B37-C37</f>
        <v>0</v>
      </c>
    </row>
  </sheetData>
  <sheetProtection/>
  <hyperlinks>
    <hyperlink ref="F15" r:id="rId1" display="risorse ed impegni esclusi (commi da 7 a16 art,31 legge 183/2011)"/>
    <hyperlink ref="F20" r:id="rId2" display="incassi e pagamenti esclusi (commi da 7 a16 art,31 legge 183/2011)"/>
    <hyperlink ref="E1" location="'Inserimento dati'!A1" display="InsDati"/>
    <hyperlink ref="E2" location="'Vai A'!A1" display="Vai a …"/>
  </hyperlinks>
  <printOptions/>
  <pageMargins left="0.34" right="0.32" top="0.984251968503937" bottom="0.984251968503937" header="0.5118110236220472" footer="0.5118110236220472"/>
  <pageSetup horizontalDpi="96" verticalDpi="96" orientation="landscape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32.7109375" style="21" customWidth="1"/>
    <col min="2" max="4" width="13.7109375" style="21" customWidth="1"/>
    <col min="5" max="6" width="9.140625" style="21" customWidth="1"/>
    <col min="7" max="7" width="28.7109375" style="21" customWidth="1"/>
    <col min="8" max="10" width="17.7109375" style="21" customWidth="1"/>
    <col min="11" max="16384" width="9.140625" style="21" customWidth="1"/>
  </cols>
  <sheetData>
    <row r="1" spans="1:6" ht="15.75">
      <c r="A1" s="100" t="s">
        <v>237</v>
      </c>
      <c r="F1" s="555" t="s">
        <v>624</v>
      </c>
    </row>
    <row r="2" spans="4:6" ht="13.5" customHeight="1">
      <c r="D2" s="855" t="str">
        <f>"Tab. 23 - "&amp;Comune</f>
        <v>Tab. 23 - </v>
      </c>
      <c r="F2" s="748" t="s">
        <v>777</v>
      </c>
    </row>
    <row r="3" spans="1:4" ht="36.75" thickBot="1">
      <c r="A3" s="167"/>
      <c r="B3" s="168" t="s">
        <v>570</v>
      </c>
      <c r="C3" s="168" t="s">
        <v>1072</v>
      </c>
      <c r="D3" s="168" t="s">
        <v>744</v>
      </c>
    </row>
    <row r="4" spans="1:4" ht="3" customHeight="1">
      <c r="A4" s="169"/>
      <c r="B4" s="170"/>
      <c r="C4" s="170"/>
      <c r="D4" s="170"/>
    </row>
    <row r="5" spans="1:7" ht="15.75">
      <c r="A5" s="171" t="s">
        <v>238</v>
      </c>
      <c r="B5" s="172"/>
      <c r="C5" s="173"/>
      <c r="D5" s="173"/>
      <c r="G5" s="100" t="s">
        <v>666</v>
      </c>
    </row>
    <row r="6" spans="1:10" ht="15">
      <c r="A6" s="181" t="s">
        <v>656</v>
      </c>
      <c r="B6" s="105"/>
      <c r="C6" s="105"/>
      <c r="D6" s="105"/>
      <c r="G6" s="598"/>
      <c r="J6" s="855" t="str">
        <f>"Tab. 24 - "&amp;Comune</f>
        <v>Tab. 24 - </v>
      </c>
    </row>
    <row r="7" spans="1:10" ht="15">
      <c r="A7" s="174" t="s">
        <v>1073</v>
      </c>
      <c r="B7" s="1014"/>
      <c r="C7" s="175"/>
      <c r="D7" s="1014"/>
      <c r="G7" s="39"/>
      <c r="H7" s="599" t="s">
        <v>571</v>
      </c>
      <c r="I7" s="599" t="s">
        <v>1079</v>
      </c>
      <c r="J7" s="599" t="s">
        <v>99</v>
      </c>
    </row>
    <row r="8" spans="1:10" ht="15">
      <c r="A8" s="176" t="s">
        <v>657</v>
      </c>
      <c r="B8" s="175"/>
      <c r="C8" s="175"/>
      <c r="D8" s="175"/>
      <c r="G8" s="39" t="s">
        <v>1077</v>
      </c>
      <c r="H8" s="600">
        <f>+C6</f>
        <v>0</v>
      </c>
      <c r="I8" s="600">
        <f>+D6</f>
        <v>0</v>
      </c>
      <c r="J8" s="600">
        <f>+E6</f>
        <v>0</v>
      </c>
    </row>
    <row r="9" spans="1:10" ht="15">
      <c r="A9" s="176" t="s">
        <v>658</v>
      </c>
      <c r="B9" s="175"/>
      <c r="C9" s="175"/>
      <c r="D9" s="175"/>
      <c r="G9" s="39" t="s">
        <v>1078</v>
      </c>
      <c r="H9" s="600">
        <f aca="true" t="shared" si="0" ref="H9:J11">+B25</f>
        <v>0</v>
      </c>
      <c r="I9" s="600">
        <f t="shared" si="0"/>
        <v>0</v>
      </c>
      <c r="J9" s="600">
        <f t="shared" si="0"/>
        <v>0</v>
      </c>
    </row>
    <row r="10" spans="1:10" ht="15">
      <c r="A10" s="176" t="s">
        <v>659</v>
      </c>
      <c r="B10" s="108"/>
      <c r="C10" s="108"/>
      <c r="D10" s="108"/>
      <c r="G10" s="39" t="s">
        <v>667</v>
      </c>
      <c r="H10" s="600">
        <f t="shared" si="0"/>
        <v>0</v>
      </c>
      <c r="I10" s="600">
        <f t="shared" si="0"/>
        <v>0</v>
      </c>
      <c r="J10" s="600">
        <f t="shared" si="0"/>
        <v>0</v>
      </c>
    </row>
    <row r="11" spans="1:10" ht="15">
      <c r="A11" s="176" t="s">
        <v>794</v>
      </c>
      <c r="B11" s="108"/>
      <c r="C11" s="108"/>
      <c r="D11" s="108"/>
      <c r="G11" s="39" t="s">
        <v>668</v>
      </c>
      <c r="H11" s="600">
        <f t="shared" si="0"/>
        <v>0</v>
      </c>
      <c r="I11" s="600">
        <f t="shared" si="0"/>
        <v>0</v>
      </c>
      <c r="J11" s="600">
        <f t="shared" si="0"/>
        <v>0</v>
      </c>
    </row>
    <row r="12" spans="1:10" ht="15">
      <c r="A12" s="176" t="s">
        <v>660</v>
      </c>
      <c r="B12" s="1015"/>
      <c r="C12" s="108"/>
      <c r="D12" s="108"/>
      <c r="G12" s="602" t="s">
        <v>196</v>
      </c>
      <c r="H12" s="603">
        <f>SUM(H8:H11)</f>
        <v>0</v>
      </c>
      <c r="I12" s="603">
        <f>SUM(I8:I11)</f>
        <v>0</v>
      </c>
      <c r="J12" s="603">
        <f>SUM(J8:J11)</f>
        <v>0</v>
      </c>
    </row>
    <row r="13" spans="1:4" ht="15">
      <c r="A13" s="176" t="s">
        <v>33</v>
      </c>
      <c r="B13" s="112"/>
      <c r="C13" s="112"/>
      <c r="D13" s="112"/>
    </row>
    <row r="14" spans="1:4" ht="15">
      <c r="A14" s="1016" t="s">
        <v>239</v>
      </c>
      <c r="B14" s="1017">
        <f>SUM(B6:B13)</f>
        <v>0</v>
      </c>
      <c r="C14" s="1017">
        <f>SUM(C6:C13)</f>
        <v>0</v>
      </c>
      <c r="D14" s="1017">
        <f>SUM(D6:D13)</f>
        <v>0</v>
      </c>
    </row>
    <row r="15" spans="1:4" ht="15">
      <c r="A15" s="177" t="s">
        <v>240</v>
      </c>
      <c r="B15" s="178"/>
      <c r="C15" s="179"/>
      <c r="D15" s="179"/>
    </row>
    <row r="16" spans="1:4" ht="15">
      <c r="A16" s="181" t="s">
        <v>856</v>
      </c>
      <c r="B16" s="105"/>
      <c r="C16" s="105"/>
      <c r="D16" s="105"/>
    </row>
    <row r="17" spans="1:4" ht="15">
      <c r="A17" s="174" t="s">
        <v>661</v>
      </c>
      <c r="B17" s="175"/>
      <c r="C17" s="175"/>
      <c r="D17" s="175"/>
    </row>
    <row r="18" spans="1:4" ht="15">
      <c r="A18" s="174" t="s">
        <v>662</v>
      </c>
      <c r="B18" s="175"/>
      <c r="C18" s="175"/>
      <c r="D18" s="175"/>
    </row>
    <row r="19" spans="1:4" ht="15">
      <c r="A19" s="176" t="s">
        <v>1076</v>
      </c>
      <c r="B19" s="175"/>
      <c r="C19" s="175"/>
      <c r="D19" s="1014"/>
    </row>
    <row r="20" spans="1:4" ht="15">
      <c r="A20" s="176" t="s">
        <v>663</v>
      </c>
      <c r="B20" s="175"/>
      <c r="C20" s="175"/>
      <c r="D20" s="175"/>
    </row>
    <row r="21" spans="1:4" ht="15">
      <c r="A21" s="176" t="s">
        <v>1074</v>
      </c>
      <c r="B21" s="1014"/>
      <c r="C21" s="1014"/>
      <c r="D21" s="175"/>
    </row>
    <row r="22" spans="1:4" ht="15">
      <c r="A22" s="176" t="s">
        <v>1075</v>
      </c>
      <c r="B22" s="1024"/>
      <c r="C22" s="1024"/>
      <c r="D22" s="112"/>
    </row>
    <row r="23" spans="1:4" ht="15">
      <c r="A23" s="1020" t="s">
        <v>241</v>
      </c>
      <c r="B23" s="1017">
        <f>SUM(B16:B22)</f>
        <v>0</v>
      </c>
      <c r="C23" s="1017">
        <f>SUM(C16:C22)</f>
        <v>0</v>
      </c>
      <c r="D23" s="1017">
        <f>SUM(D16:D22)</f>
        <v>0</v>
      </c>
    </row>
    <row r="24" spans="1:4" ht="15">
      <c r="A24" s="177" t="s">
        <v>242</v>
      </c>
      <c r="B24" s="1018"/>
      <c r="C24" s="1019"/>
      <c r="D24" s="1019"/>
    </row>
    <row r="25" spans="1:4" ht="15">
      <c r="A25" s="181" t="s">
        <v>34</v>
      </c>
      <c r="B25" s="105"/>
      <c r="C25" s="105"/>
      <c r="D25" s="105"/>
    </row>
    <row r="26" spans="1:4" ht="15">
      <c r="A26" s="174" t="s">
        <v>664</v>
      </c>
      <c r="B26" s="175"/>
      <c r="C26" s="1014"/>
      <c r="D26" s="1014"/>
    </row>
    <row r="27" spans="1:4" ht="15">
      <c r="A27" s="174" t="s">
        <v>665</v>
      </c>
      <c r="B27" s="175"/>
      <c r="C27" s="175"/>
      <c r="D27" s="175"/>
    </row>
    <row r="28" spans="1:4" ht="15">
      <c r="A28" s="176" t="s">
        <v>243</v>
      </c>
      <c r="B28" s="175"/>
      <c r="C28" s="175"/>
      <c r="D28" s="175"/>
    </row>
    <row r="29" spans="1:4" ht="15">
      <c r="A29" s="1023" t="s">
        <v>244</v>
      </c>
      <c r="B29" s="1017">
        <f>SUM(B25:B28)</f>
        <v>0</v>
      </c>
      <c r="C29" s="1017">
        <f>SUM(C25:C28)</f>
        <v>0</v>
      </c>
      <c r="D29" s="1017">
        <f>SUM(D25:D28)</f>
        <v>0</v>
      </c>
    </row>
    <row r="30" spans="1:4" ht="15.75" thickBot="1">
      <c r="A30" s="1021" t="s">
        <v>35</v>
      </c>
      <c r="B30" s="1022">
        <f>B14+B23+B29</f>
        <v>0</v>
      </c>
      <c r="C30" s="1022">
        <f>C14+C23+C29</f>
        <v>0</v>
      </c>
      <c r="D30" s="1022">
        <f>D14+D23+D29</f>
        <v>0</v>
      </c>
    </row>
    <row r="31" ht="15.75" thickTop="1"/>
    <row r="32" spans="1:4" ht="15">
      <c r="A32" s="470" t="s">
        <v>203</v>
      </c>
      <c r="B32" s="471">
        <f>+B30-ET1C12</f>
        <v>0</v>
      </c>
      <c r="C32" s="471">
        <f>+C30-ET1A13</f>
        <v>0</v>
      </c>
      <c r="D32" s="471">
        <f>+D30-ET1P14</f>
        <v>0</v>
      </c>
    </row>
    <row r="33" spans="3:4" ht="15">
      <c r="C33" s="471">
        <f>+C30-ET1C13</f>
        <v>0</v>
      </c>
      <c r="D33" s="183"/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E11" sqref="E11"/>
    </sheetView>
  </sheetViews>
  <sheetFormatPr defaultColWidth="9.140625" defaultRowHeight="12.75" outlineLevelRow="1" outlineLevelCol="1"/>
  <cols>
    <col min="1" max="1" width="25.421875" style="21" customWidth="1"/>
    <col min="2" max="2" width="12.28125" style="21" customWidth="1"/>
    <col min="3" max="3" width="12.8515625" style="21" bestFit="1" customWidth="1"/>
    <col min="4" max="6" width="12.28125" style="21" customWidth="1"/>
    <col min="7" max="7" width="9.140625" style="21" customWidth="1"/>
    <col min="8" max="8" width="8.8515625" style="21" hidden="1" customWidth="1" outlineLevel="1"/>
    <col min="9" max="9" width="10.00390625" style="21" hidden="1" customWidth="1" outlineLevel="1"/>
    <col min="10" max="13" width="15.421875" style="21" hidden="1" customWidth="1" outlineLevel="1"/>
    <col min="14" max="14" width="0" style="21" hidden="1" customWidth="1" outlineLevel="1"/>
    <col min="15" max="15" width="9.140625" style="21" customWidth="1" collapsed="1"/>
    <col min="16" max="16384" width="9.140625" style="21" customWidth="1"/>
  </cols>
  <sheetData>
    <row r="1" spans="1:7" ht="15.75">
      <c r="A1" s="100" t="s">
        <v>957</v>
      </c>
      <c r="G1" s="555" t="s">
        <v>624</v>
      </c>
    </row>
    <row r="2" ht="15">
      <c r="G2" s="748" t="s">
        <v>777</v>
      </c>
    </row>
    <row r="3" ht="15">
      <c r="F3" s="855" t="str">
        <f>"Tab. 25 - "&amp;Comune</f>
        <v>Tab. 25 - </v>
      </c>
    </row>
    <row r="4" spans="1:13" ht="32.25" customHeight="1">
      <c r="A4" s="597"/>
      <c r="B4" s="904" t="s">
        <v>569</v>
      </c>
      <c r="C4" s="904" t="s">
        <v>1080</v>
      </c>
      <c r="D4" s="904" t="s">
        <v>1081</v>
      </c>
      <c r="E4" s="904" t="s">
        <v>744</v>
      </c>
      <c r="F4" s="904" t="s">
        <v>1082</v>
      </c>
      <c r="H4" s="604"/>
      <c r="I4" s="604" t="s">
        <v>225</v>
      </c>
      <c r="J4" s="604" t="s">
        <v>675</v>
      </c>
      <c r="K4" s="604" t="s">
        <v>669</v>
      </c>
      <c r="L4" s="604" t="s">
        <v>670</v>
      </c>
      <c r="M4" s="604" t="s">
        <v>671</v>
      </c>
    </row>
    <row r="5" spans="1:13" ht="3" customHeight="1">
      <c r="A5" s="185"/>
      <c r="B5" s="187"/>
      <c r="C5" s="187"/>
      <c r="D5" s="187"/>
      <c r="E5" s="187"/>
      <c r="F5" s="187"/>
      <c r="H5" s="187"/>
      <c r="I5" s="187"/>
      <c r="J5" s="187"/>
      <c r="K5" s="187"/>
      <c r="L5" s="187"/>
      <c r="M5" s="187"/>
    </row>
    <row r="6" spans="1:13" ht="15">
      <c r="A6" s="188" t="s">
        <v>952</v>
      </c>
      <c r="B6" s="447"/>
      <c r="C6" s="905"/>
      <c r="D6" s="906" t="e">
        <f>+ROUND(C6/B6,4)</f>
        <v>#DIV/0!</v>
      </c>
      <c r="E6" s="905"/>
      <c r="F6" s="906" t="e">
        <f>+ROUND(E6/C6,4)</f>
        <v>#DIV/0!</v>
      </c>
      <c r="H6" s="554" t="s">
        <v>672</v>
      </c>
      <c r="I6" s="601"/>
      <c r="J6" s="601"/>
      <c r="K6" s="601"/>
      <c r="L6" s="601"/>
      <c r="M6" s="601"/>
    </row>
    <row r="7" spans="1:13" ht="15">
      <c r="A7" s="190" t="s">
        <v>953</v>
      </c>
      <c r="B7" s="447"/>
      <c r="C7" s="905"/>
      <c r="D7" s="906" t="e">
        <f>+ROUND(C7/B7,4)</f>
        <v>#DIV/0!</v>
      </c>
      <c r="E7" s="905"/>
      <c r="F7" s="906" t="e">
        <f>+ROUND(E7/C7,4)</f>
        <v>#DIV/0!</v>
      </c>
      <c r="H7" s="554" t="s">
        <v>673</v>
      </c>
      <c r="I7" s="601"/>
      <c r="J7" s="601"/>
      <c r="K7" s="601"/>
      <c r="L7" s="601"/>
      <c r="M7" s="601"/>
    </row>
    <row r="8" spans="1:13" ht="15">
      <c r="A8" s="191" t="s">
        <v>246</v>
      </c>
      <c r="B8" s="447"/>
      <c r="C8" s="905"/>
      <c r="D8" s="906" t="e">
        <f>+ROUND(C8/B8,4)</f>
        <v>#DIV/0!</v>
      </c>
      <c r="E8" s="905"/>
      <c r="F8" s="906" t="e">
        <f>+ROUND(E8/C8,4)</f>
        <v>#DIV/0!</v>
      </c>
      <c r="H8" s="554" t="s">
        <v>674</v>
      </c>
      <c r="I8" s="601"/>
      <c r="J8" s="601"/>
      <c r="K8" s="601"/>
      <c r="L8" s="601"/>
      <c r="M8" s="601"/>
    </row>
    <row r="9" spans="1:6" ht="15.75" thickBot="1">
      <c r="A9" s="192" t="s">
        <v>46</v>
      </c>
      <c r="B9" s="907">
        <f>SUM(B6:B8)</f>
        <v>0</v>
      </c>
      <c r="C9" s="907">
        <f>SUM(C6:C8)</f>
        <v>0</v>
      </c>
      <c r="D9" s="908" t="e">
        <f>+ROUND(C9/B9,4)</f>
        <v>#DIV/0!</v>
      </c>
      <c r="E9" s="907">
        <f>SUM(E6:E8)</f>
        <v>0</v>
      </c>
      <c r="F9" s="908" t="e">
        <f>+ROUND(E9/C9,4)</f>
        <v>#DIV/0!</v>
      </c>
    </row>
    <row r="10" ht="15">
      <c r="C10" s="183"/>
    </row>
    <row r="11" spans="1:3" ht="15.75">
      <c r="A11" s="100" t="s">
        <v>958</v>
      </c>
      <c r="C11" s="183"/>
    </row>
    <row r="12" ht="15">
      <c r="C12" s="183"/>
    </row>
    <row r="13" spans="1:5" ht="5.25" customHeight="1">
      <c r="A13" s="212"/>
      <c r="B13" s="212"/>
      <c r="C13" s="212"/>
      <c r="D13" s="212"/>
      <c r="E13" s="212"/>
    </row>
    <row r="14" spans="1:5" ht="15" hidden="1" outlineLevel="1">
      <c r="A14" s="909"/>
      <c r="B14" s="855" t="str">
        <f>"Tab. 17 - Comune di "&amp;Comune</f>
        <v>Tab. 17 - Comune di </v>
      </c>
      <c r="C14" s="910">
        <v>2011</v>
      </c>
      <c r="D14" s="910">
        <f>+C14+1</f>
        <v>2012</v>
      </c>
      <c r="E14" s="910">
        <f>+D14+1</f>
        <v>2013</v>
      </c>
    </row>
    <row r="15" spans="1:5" ht="15" hidden="1" outlineLevel="1">
      <c r="A15" s="911" t="s">
        <v>954</v>
      </c>
      <c r="B15" s="912"/>
      <c r="C15" s="905">
        <v>0</v>
      </c>
      <c r="D15" s="905"/>
      <c r="E15" s="905"/>
    </row>
    <row r="16" spans="1:5" ht="15" hidden="1" outlineLevel="1">
      <c r="A16" s="913" t="s">
        <v>955</v>
      </c>
      <c r="B16" s="912"/>
      <c r="C16" s="905">
        <v>0</v>
      </c>
      <c r="D16" s="905"/>
      <c r="E16" s="905"/>
    </row>
    <row r="17" spans="1:5" ht="15" hidden="1" outlineLevel="1">
      <c r="A17" s="914" t="s">
        <v>857</v>
      </c>
      <c r="B17" s="915" t="s">
        <v>961</v>
      </c>
      <c r="C17" s="905"/>
      <c r="D17" s="905"/>
      <c r="E17" s="905"/>
    </row>
    <row r="18" spans="1:5" ht="15" hidden="1" outlineLevel="1">
      <c r="A18" s="916" t="s">
        <v>956</v>
      </c>
      <c r="B18" s="915" t="s">
        <v>960</v>
      </c>
      <c r="C18" s="905"/>
      <c r="D18" s="905"/>
      <c r="E18" s="905"/>
    </row>
    <row r="19" spans="1:5" ht="15" hidden="1" outlineLevel="1">
      <c r="A19" s="781" t="s">
        <v>857</v>
      </c>
      <c r="B19" s="915" t="s">
        <v>959</v>
      </c>
      <c r="C19" s="905"/>
      <c r="D19" s="905"/>
      <c r="E19" s="905"/>
    </row>
    <row r="20" ht="15" hidden="1" outlineLevel="1"/>
    <row r="21" ht="15" collapsed="1"/>
  </sheetData>
  <sheetProtection/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E1">
      <selection activeCell="E1" sqref="E1"/>
    </sheetView>
  </sheetViews>
  <sheetFormatPr defaultColWidth="9.140625" defaultRowHeight="12.75" outlineLevelRow="1" outlineLevelCol="1"/>
  <cols>
    <col min="1" max="1" width="38.140625" style="21" hidden="1" customWidth="1" outlineLevel="1"/>
    <col min="2" max="3" width="19.28125" style="21" hidden="1" customWidth="1" outlineLevel="1"/>
    <col min="4" max="4" width="0" style="21" hidden="1" customWidth="1" outlineLevel="1"/>
    <col min="5" max="5" width="9.140625" style="21" customWidth="1" collapsed="1"/>
    <col min="6" max="6" width="2.140625" style="21" customWidth="1"/>
    <col min="7" max="9" width="23.28125" style="21" customWidth="1"/>
    <col min="10" max="10" width="15.7109375" style="21" customWidth="1"/>
    <col min="11" max="16384" width="9.140625" style="21" customWidth="1"/>
  </cols>
  <sheetData>
    <row r="1" spans="1:7" ht="15.75">
      <c r="A1" s="100" t="s">
        <v>250</v>
      </c>
      <c r="E1" s="768" t="s">
        <v>624</v>
      </c>
      <c r="G1" s="100" t="s">
        <v>251</v>
      </c>
    </row>
    <row r="2" spans="1:9" ht="14.25" customHeight="1">
      <c r="A2" s="212"/>
      <c r="B2" s="212"/>
      <c r="C2" s="855" t="str">
        <f>"Tab. 18 - Comune di "&amp;Comune</f>
        <v>Tab. 18 - Comune di </v>
      </c>
      <c r="E2" s="769" t="s">
        <v>777</v>
      </c>
      <c r="I2" s="855" t="str">
        <f>"Tab. 20 - Comune di "&amp;Comune</f>
        <v>Tab. 20 - Comune di </v>
      </c>
    </row>
    <row r="3" spans="1:9" ht="15">
      <c r="A3" s="199" t="s">
        <v>252</v>
      </c>
      <c r="B3" s="213"/>
      <c r="C3" s="214"/>
      <c r="G3" s="222" t="s">
        <v>257</v>
      </c>
      <c r="H3" s="222" t="s">
        <v>571</v>
      </c>
      <c r="I3" s="222" t="s">
        <v>963</v>
      </c>
    </row>
    <row r="4" spans="1:9" ht="15">
      <c r="A4" s="215" t="s">
        <v>36</v>
      </c>
      <c r="B4" s="200">
        <v>0</v>
      </c>
      <c r="C4" s="201"/>
      <c r="G4" s="274">
        <f>+PC11</f>
        <v>0</v>
      </c>
      <c r="H4" s="274">
        <f>PC12</f>
        <v>0</v>
      </c>
      <c r="I4" s="274">
        <f>PC13</f>
        <v>0</v>
      </c>
    </row>
    <row r="5" spans="1:3" ht="15">
      <c r="A5" s="215" t="s">
        <v>37</v>
      </c>
      <c r="B5" s="200">
        <v>0</v>
      </c>
      <c r="C5" s="201"/>
    </row>
    <row r="6" spans="1:7" ht="15" hidden="1" outlineLevel="1">
      <c r="A6" s="215" t="s">
        <v>38</v>
      </c>
      <c r="B6" s="203">
        <v>0</v>
      </c>
      <c r="C6" s="201"/>
      <c r="G6" s="273" t="s">
        <v>527</v>
      </c>
    </row>
    <row r="7" spans="1:10" ht="15" hidden="1" outlineLevel="1">
      <c r="A7" s="215" t="s">
        <v>39</v>
      </c>
      <c r="B7" s="203">
        <v>0</v>
      </c>
      <c r="C7" s="201"/>
      <c r="G7" s="273"/>
      <c r="J7" s="855" t="str">
        <f>"Tab. 21 - Comune di "&amp;Comune</f>
        <v>Tab. 21 - Comune di </v>
      </c>
    </row>
    <row r="8" spans="1:10" ht="15" hidden="1" outlineLevel="1">
      <c r="A8" s="204" t="s">
        <v>253</v>
      </c>
      <c r="B8" s="205"/>
      <c r="C8" s="206">
        <f>SUM(B4:B7)</f>
        <v>0</v>
      </c>
      <c r="G8" s="12" t="s">
        <v>146</v>
      </c>
      <c r="H8" s="12" t="s">
        <v>27</v>
      </c>
      <c r="I8" s="12" t="s">
        <v>258</v>
      </c>
      <c r="J8" s="12" t="s">
        <v>147</v>
      </c>
    </row>
    <row r="9" spans="1:10" ht="15" hidden="1" outlineLevel="1">
      <c r="A9" s="207"/>
      <c r="B9" s="208"/>
      <c r="C9" s="201"/>
      <c r="G9" s="12">
        <v>2011</v>
      </c>
      <c r="H9" s="14">
        <f>PC11</f>
        <v>0</v>
      </c>
      <c r="I9" s="37" t="e">
        <f>+ROUND(H9/G4,4)</f>
        <v>#DIV/0!</v>
      </c>
      <c r="J9" s="37"/>
    </row>
    <row r="10" spans="1:10" ht="15" hidden="1" outlineLevel="1">
      <c r="A10" s="209" t="s">
        <v>254</v>
      </c>
      <c r="B10" s="208"/>
      <c r="C10" s="201"/>
      <c r="G10" s="12">
        <f>+G9+1</f>
        <v>2012</v>
      </c>
      <c r="H10" s="14">
        <f>PC12</f>
        <v>0</v>
      </c>
      <c r="I10" s="37" t="e">
        <f>+ROUND(H10/H4,4)</f>
        <v>#DIV/0!</v>
      </c>
      <c r="J10" s="37"/>
    </row>
    <row r="11" spans="1:10" ht="15" hidden="1" outlineLevel="1">
      <c r="A11" s="216" t="s">
        <v>256</v>
      </c>
      <c r="B11" s="200">
        <v>0</v>
      </c>
      <c r="C11" s="201"/>
      <c r="G11" s="12">
        <f>+G10+1</f>
        <v>2013</v>
      </c>
      <c r="H11" s="14">
        <f>PC13</f>
        <v>0</v>
      </c>
      <c r="I11" s="37" t="e">
        <f>+ROUND(H11/I4,4)</f>
        <v>#DIV/0!</v>
      </c>
      <c r="J11" s="37"/>
    </row>
    <row r="12" spans="1:10" ht="15" hidden="1" outlineLevel="1">
      <c r="A12" s="216" t="s">
        <v>143</v>
      </c>
      <c r="B12" s="200">
        <v>0</v>
      </c>
      <c r="C12" s="201"/>
      <c r="G12" s="1154" t="s">
        <v>148</v>
      </c>
      <c r="H12" s="1155"/>
      <c r="I12" s="1155"/>
      <c r="J12" s="1156"/>
    </row>
    <row r="13" spans="1:10" ht="15" hidden="1" outlineLevel="1">
      <c r="A13" s="216" t="s">
        <v>144</v>
      </c>
      <c r="B13" s="203">
        <v>0</v>
      </c>
      <c r="C13" s="201"/>
      <c r="G13" s="1154" t="s">
        <v>259</v>
      </c>
      <c r="H13" s="1155"/>
      <c r="I13" s="1155"/>
      <c r="J13" s="1156"/>
    </row>
    <row r="14" spans="1:10" ht="15" hidden="1" outlineLevel="1">
      <c r="A14" s="216" t="s">
        <v>145</v>
      </c>
      <c r="B14" s="203">
        <v>0</v>
      </c>
      <c r="C14" s="201"/>
      <c r="G14" s="1154" t="s">
        <v>260</v>
      </c>
      <c r="H14" s="1155"/>
      <c r="I14" s="1155"/>
      <c r="J14" s="1156"/>
    </row>
    <row r="15" spans="1:3" ht="15" hidden="1" outlineLevel="1">
      <c r="A15" s="204" t="s">
        <v>255</v>
      </c>
      <c r="B15" s="205"/>
      <c r="C15" s="206">
        <f>SUM(B11:B14)</f>
        <v>0</v>
      </c>
    </row>
    <row r="16" spans="1:7" ht="15" hidden="1" outlineLevel="1">
      <c r="A16" s="207"/>
      <c r="B16" s="208"/>
      <c r="C16" s="201"/>
      <c r="G16" s="3" t="s">
        <v>526</v>
      </c>
    </row>
    <row r="17" spans="1:3" ht="15" hidden="1" outlineLevel="1">
      <c r="A17" s="210" t="s">
        <v>41</v>
      </c>
      <c r="B17" s="217"/>
      <c r="C17" s="211" t="e">
        <f>C8/C15</f>
        <v>#DIV/0!</v>
      </c>
    </row>
    <row r="18" spans="7:10" ht="15" customHeight="1" hidden="1" outlineLevel="1" thickBot="1">
      <c r="G18" s="821"/>
      <c r="H18" s="855" t="str">
        <f>"Tab. 22 - Comune di "&amp;Comune</f>
        <v>Tab. 22 - Comune di </v>
      </c>
      <c r="I18" s="186" t="s">
        <v>23</v>
      </c>
      <c r="J18" s="186" t="s">
        <v>71</v>
      </c>
    </row>
    <row r="19" spans="1:10" ht="15" customHeight="1" hidden="1" outlineLevel="1">
      <c r="A19" s="3" t="s">
        <v>525</v>
      </c>
      <c r="G19" s="1157" t="s">
        <v>964</v>
      </c>
      <c r="H19" s="1158"/>
      <c r="I19" s="193"/>
      <c r="J19" s="194" t="e">
        <f>+ROUND(I19/$I$19,4)</f>
        <v>#DIV/0!</v>
      </c>
    </row>
    <row r="20" spans="7:10" ht="15" hidden="1" outlineLevel="1">
      <c r="G20" s="1150" t="s">
        <v>965</v>
      </c>
      <c r="H20" s="1151"/>
      <c r="I20" s="189"/>
      <c r="J20" s="195" t="e">
        <f>+ROUND(I20/$I$15,4)</f>
        <v>#DIV/0!</v>
      </c>
    </row>
    <row r="21" spans="1:10" ht="15.75" customHeight="1" hidden="1" outlineLevel="1" thickBot="1">
      <c r="A21" s="855" t="str">
        <f>"Tab. 19 - Comune di "&amp;Comune</f>
        <v>Tab. 19 - Comune di </v>
      </c>
      <c r="B21" s="186" t="s">
        <v>23</v>
      </c>
      <c r="C21" s="186" t="s">
        <v>71</v>
      </c>
      <c r="G21" s="1150" t="s">
        <v>247</v>
      </c>
      <c r="H21" s="1151"/>
      <c r="I21" s="189"/>
      <c r="J21" s="195" t="e">
        <f>+ROUND(I21/$I$15,4)</f>
        <v>#DIV/0!</v>
      </c>
    </row>
    <row r="22" spans="1:10" ht="15.75" customHeight="1" hidden="1" outlineLevel="1" thickBot="1">
      <c r="A22" s="218" t="s">
        <v>964</v>
      </c>
      <c r="B22" s="193"/>
      <c r="C22" s="194" t="e">
        <f>+ROUND(B22/B22,4)</f>
        <v>#DIV/0!</v>
      </c>
      <c r="G22" s="1152" t="s">
        <v>966</v>
      </c>
      <c r="H22" s="1153"/>
      <c r="I22" s="196">
        <f>+I19-I20-I21</f>
        <v>0</v>
      </c>
      <c r="J22" s="197" t="e">
        <f>+ROUND(I22/$I$15,4)</f>
        <v>#DIV/0!</v>
      </c>
    </row>
    <row r="23" spans="1:10" ht="15.75" hidden="1" outlineLevel="1" thickBot="1">
      <c r="A23" s="219" t="s">
        <v>965</v>
      </c>
      <c r="B23" s="189"/>
      <c r="C23" s="195" t="e">
        <f>+ROUND(B23/$B$14,4)</f>
        <v>#DIV/0!</v>
      </c>
      <c r="G23" s="1148" t="s">
        <v>248</v>
      </c>
      <c r="H23" s="1149"/>
      <c r="I23" s="198">
        <f>+I13-K12</f>
        <v>0</v>
      </c>
      <c r="J23" s="472"/>
    </row>
    <row r="24" spans="1:10" ht="15.75" hidden="1" outlineLevel="1" thickBot="1">
      <c r="A24" s="219" t="s">
        <v>247</v>
      </c>
      <c r="B24" s="189"/>
      <c r="C24" s="195" t="e">
        <f>+ROUND(B24/$B$14,4)</f>
        <v>#DIV/0!</v>
      </c>
      <c r="G24" s="1148" t="s">
        <v>249</v>
      </c>
      <c r="H24" s="1149"/>
      <c r="I24" s="198">
        <f>SUM(I22:I23)</f>
        <v>0</v>
      </c>
      <c r="J24" s="472"/>
    </row>
    <row r="25" spans="1:3" ht="15.75" collapsed="1" thickBot="1">
      <c r="A25" s="220" t="s">
        <v>966</v>
      </c>
      <c r="B25" s="196">
        <f>+B22-B23-B24</f>
        <v>0</v>
      </c>
      <c r="C25" s="197" t="e">
        <f>+ROUND(B25/$B$14,4)</f>
        <v>#DIV/0!</v>
      </c>
    </row>
    <row r="26" spans="1:13" ht="15.75" thickBot="1">
      <c r="A26" s="221" t="s">
        <v>248</v>
      </c>
      <c r="B26" s="198" t="e">
        <f>+C17-E17</f>
        <v>#DIV/0!</v>
      </c>
      <c r="C26" s="472"/>
      <c r="G26" s="459" t="s">
        <v>523</v>
      </c>
      <c r="H26" s="460"/>
      <c r="I26" s="460"/>
      <c r="J26" s="460"/>
      <c r="K26" s="460"/>
      <c r="L26" s="460"/>
      <c r="M26" s="461"/>
    </row>
    <row r="27" spans="1:3" ht="15.75" thickBot="1">
      <c r="A27" s="221" t="s">
        <v>249</v>
      </c>
      <c r="B27" s="198" t="e">
        <f>SUM(B25:B26)</f>
        <v>#DIV/0!</v>
      </c>
      <c r="C27" s="472"/>
    </row>
  </sheetData>
  <sheetProtection/>
  <mergeCells count="9">
    <mergeCell ref="G24:H24"/>
    <mergeCell ref="G21:H21"/>
    <mergeCell ref="G22:H22"/>
    <mergeCell ref="G23:H23"/>
    <mergeCell ref="G12:J12"/>
    <mergeCell ref="G13:J13"/>
    <mergeCell ref="G14:J14"/>
    <mergeCell ref="G19:H19"/>
    <mergeCell ref="G20:H20"/>
  </mergeCells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38.8515625" style="21" customWidth="1"/>
    <col min="2" max="4" width="16.7109375" style="21" customWidth="1"/>
    <col min="5" max="5" width="35.28125" style="21" customWidth="1"/>
    <col min="6" max="9" width="13.421875" style="21" customWidth="1"/>
    <col min="10" max="10" width="9.140625" style="21" customWidth="1"/>
    <col min="11" max="11" width="19.8515625" style="21" customWidth="1"/>
    <col min="12" max="16384" width="9.140625" style="21" customWidth="1"/>
  </cols>
  <sheetData>
    <row r="1" spans="1:7" ht="15.75">
      <c r="A1" s="100" t="s">
        <v>273</v>
      </c>
      <c r="F1" s="768" t="s">
        <v>624</v>
      </c>
      <c r="G1" s="768"/>
    </row>
    <row r="2" spans="6:7" ht="15">
      <c r="F2" s="769" t="s">
        <v>777</v>
      </c>
      <c r="G2" s="769"/>
    </row>
    <row r="3" ht="15">
      <c r="D3" s="855" t="str">
        <f>"Tab. 23 - Comune di "&amp;Comune</f>
        <v>Tab. 23 - Comune di </v>
      </c>
    </row>
    <row r="4" spans="1:4" ht="15.75" thickBot="1">
      <c r="A4" s="821"/>
      <c r="B4" s="237">
        <v>2011</v>
      </c>
      <c r="C4" s="236">
        <f>+B4+1</f>
        <v>2012</v>
      </c>
      <c r="D4" s="236">
        <f>+C4+1</f>
        <v>2013</v>
      </c>
    </row>
    <row r="5" spans="1:4" ht="3.75" customHeight="1">
      <c r="A5" s="169"/>
      <c r="B5" s="170"/>
      <c r="C5" s="170"/>
      <c r="D5" s="170"/>
    </row>
    <row r="6" spans="1:4" ht="30" customHeight="1">
      <c r="A6" s="235" t="s">
        <v>272</v>
      </c>
      <c r="B6" s="234"/>
      <c r="C6" s="234"/>
      <c r="D6" s="234"/>
    </row>
    <row r="7" spans="1:4" ht="30" customHeight="1">
      <c r="A7" s="231" t="s">
        <v>271</v>
      </c>
      <c r="B7" s="230"/>
      <c r="C7" s="230"/>
      <c r="D7" s="230"/>
    </row>
    <row r="8" spans="1:4" ht="30" customHeight="1">
      <c r="A8" s="233" t="s">
        <v>270</v>
      </c>
      <c r="B8" s="232"/>
      <c r="C8" s="232"/>
      <c r="D8" s="232"/>
    </row>
    <row r="9" spans="1:4" ht="30" customHeight="1">
      <c r="A9" s="231" t="s">
        <v>269</v>
      </c>
      <c r="B9" s="230"/>
      <c r="C9" s="230"/>
      <c r="D9" s="230"/>
    </row>
    <row r="10" spans="1:4" ht="30" customHeight="1">
      <c r="A10" s="231" t="s">
        <v>268</v>
      </c>
      <c r="B10" s="230"/>
      <c r="C10" s="230"/>
      <c r="D10" s="230"/>
    </row>
    <row r="11" spans="1:4" ht="3" customHeight="1" thickBot="1">
      <c r="A11" s="229"/>
      <c r="B11" s="228"/>
      <c r="C11" s="228"/>
      <c r="D11" s="228"/>
    </row>
    <row r="12" spans="1:4" ht="15.75" thickBot="1">
      <c r="A12" s="227" t="s">
        <v>46</v>
      </c>
      <c r="B12" s="182">
        <f>SUM(B6:B10)</f>
        <v>0</v>
      </c>
      <c r="C12" s="182">
        <f>SUM(C6:C10)</f>
        <v>0</v>
      </c>
      <c r="D12" s="182">
        <f>SUM(D6:D10)</f>
        <v>0</v>
      </c>
    </row>
    <row r="13" ht="15.75" thickTop="1"/>
    <row r="14" spans="1:4" ht="15">
      <c r="A14" s="473" t="s">
        <v>203</v>
      </c>
      <c r="B14" s="474">
        <f>+B12-ET2C11</f>
        <v>0</v>
      </c>
      <c r="C14" s="474">
        <f>+C12-ET2C12</f>
        <v>0</v>
      </c>
      <c r="D14" s="474">
        <f>+D12-ET2C13</f>
        <v>0</v>
      </c>
    </row>
    <row r="17" ht="15.75">
      <c r="E17" s="100" t="s">
        <v>267</v>
      </c>
    </row>
    <row r="18" ht="15">
      <c r="I18" s="855" t="str">
        <f>"Tab. 24 - Comune di "&amp;Comune</f>
        <v>Tab. 24 - Comune di </v>
      </c>
    </row>
    <row r="19" spans="5:9" ht="36.75" thickBot="1">
      <c r="E19" s="821"/>
      <c r="F19" s="168" t="s">
        <v>569</v>
      </c>
      <c r="G19" s="168" t="s">
        <v>967</v>
      </c>
      <c r="H19" s="168" t="s">
        <v>968</v>
      </c>
      <c r="I19" s="168" t="s">
        <v>969</v>
      </c>
    </row>
    <row r="20" spans="5:9" ht="3.75" customHeight="1">
      <c r="E20" s="871"/>
      <c r="F20" s="226"/>
      <c r="G20" s="226"/>
      <c r="H20" s="226"/>
      <c r="I20" s="226"/>
    </row>
    <row r="21" spans="5:9" ht="15">
      <c r="E21" s="917" t="s">
        <v>266</v>
      </c>
      <c r="F21" s="225"/>
      <c r="G21" s="225"/>
      <c r="H21" s="225"/>
      <c r="I21" s="225">
        <f>+H21+F21</f>
        <v>0</v>
      </c>
    </row>
    <row r="22" spans="5:9" ht="15">
      <c r="E22" s="918" t="s">
        <v>265</v>
      </c>
      <c r="F22" s="108"/>
      <c r="G22" s="108"/>
      <c r="H22" s="108"/>
      <c r="I22" s="108">
        <f>+H22-F22</f>
        <v>0</v>
      </c>
    </row>
    <row r="23" spans="5:9" ht="15">
      <c r="E23" s="918" t="s">
        <v>264</v>
      </c>
      <c r="F23" s="108"/>
      <c r="G23" s="108"/>
      <c r="H23" s="108"/>
      <c r="I23" s="108">
        <f>+H23-F23</f>
        <v>0</v>
      </c>
    </row>
    <row r="24" spans="5:9" ht="15">
      <c r="E24" s="918" t="s">
        <v>263</v>
      </c>
      <c r="F24" s="108"/>
      <c r="G24" s="108"/>
      <c r="H24" s="108"/>
      <c r="I24" s="108">
        <f>+H24-F24</f>
        <v>0</v>
      </c>
    </row>
    <row r="25" spans="5:9" ht="15.75" thickBot="1">
      <c r="E25" s="919" t="s">
        <v>262</v>
      </c>
      <c r="F25" s="112"/>
      <c r="G25" s="112"/>
      <c r="H25" s="112"/>
      <c r="I25" s="112">
        <f>+H25-F25</f>
        <v>0</v>
      </c>
    </row>
    <row r="26" spans="5:9" ht="3.75" customHeight="1">
      <c r="E26" s="920"/>
      <c r="F26" s="224"/>
      <c r="G26" s="224"/>
      <c r="H26" s="224"/>
      <c r="I26" s="224"/>
    </row>
    <row r="27" spans="5:9" ht="15.75" thickBot="1">
      <c r="E27" s="921" t="s">
        <v>261</v>
      </c>
      <c r="F27" s="223">
        <f>SUM(F21:F25)</f>
        <v>0</v>
      </c>
      <c r="G27" s="223"/>
      <c r="H27" s="223">
        <f>SUM(H21:H25)</f>
        <v>0</v>
      </c>
      <c r="I27" s="223">
        <f>SUM(I21:I25)</f>
        <v>0</v>
      </c>
    </row>
    <row r="28" ht="15.75" thickTop="1"/>
    <row r="29" spans="5:8" ht="15">
      <c r="E29" s="473" t="s">
        <v>203</v>
      </c>
      <c r="F29" s="474">
        <f>+F27-ET3C12</f>
        <v>0</v>
      </c>
      <c r="G29" s="474">
        <f>+G27-ET3P13</f>
        <v>0</v>
      </c>
      <c r="H29" s="474">
        <f>+H27-ET3C13</f>
        <v>0</v>
      </c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44.140625" style="0" bestFit="1" customWidth="1"/>
    <col min="2" max="3" width="16.7109375" style="0" customWidth="1"/>
  </cols>
  <sheetData>
    <row r="1" spans="1:6" ht="12.75">
      <c r="A1" s="3" t="s">
        <v>600</v>
      </c>
      <c r="E1" s="555" t="s">
        <v>624</v>
      </c>
      <c r="F1" s="748" t="s">
        <v>777</v>
      </c>
    </row>
    <row r="2" ht="5.25" customHeight="1"/>
    <row r="3" spans="1:3" ht="12.75">
      <c r="A3" s="541" t="s">
        <v>601</v>
      </c>
      <c r="B3" s="542" t="s">
        <v>1</v>
      </c>
      <c r="C3" s="542" t="s">
        <v>2</v>
      </c>
    </row>
    <row r="4" spans="1:3" ht="12.75">
      <c r="A4" s="533" t="s">
        <v>602</v>
      </c>
      <c r="B4" s="543"/>
      <c r="C4" s="544">
        <v>0</v>
      </c>
    </row>
    <row r="5" spans="1:3" ht="12.75">
      <c r="A5" s="535" t="s">
        <v>603</v>
      </c>
      <c r="B5" s="545"/>
      <c r="C5" s="546"/>
    </row>
    <row r="6" spans="1:3" ht="12.75">
      <c r="A6" s="535" t="s">
        <v>604</v>
      </c>
      <c r="B6" s="545" t="e">
        <f>+Proventi_CdS_prev_2013</f>
        <v>#NAME?</v>
      </c>
      <c r="C6" s="546" t="e">
        <f>+Proventi_CdS_a_spesa_corrente_prev_2013</f>
        <v>#NAME?</v>
      </c>
    </row>
    <row r="7" spans="1:3" ht="12.75">
      <c r="A7" s="535" t="s">
        <v>605</v>
      </c>
      <c r="B7" s="545"/>
      <c r="C7" s="546"/>
    </row>
    <row r="8" spans="1:3" ht="12.75">
      <c r="A8" s="535" t="s">
        <v>606</v>
      </c>
      <c r="B8" s="547"/>
      <c r="C8" s="548"/>
    </row>
    <row r="9" spans="1:3" ht="12.75">
      <c r="A9" s="549" t="s">
        <v>607</v>
      </c>
      <c r="B9" s="550" t="e">
        <f>SUM(B4:B8)</f>
        <v>#NAME?</v>
      </c>
      <c r="C9" s="550" t="e">
        <f>SUM(C4:C8)</f>
        <v>#NAME?</v>
      </c>
    </row>
    <row r="10" spans="1:3" ht="12.75">
      <c r="A10" s="1103" t="s">
        <v>16</v>
      </c>
      <c r="B10" s="1104"/>
      <c r="C10" s="551" t="e">
        <f>C9-B9</f>
        <v>#NAME?</v>
      </c>
    </row>
  </sheetData>
  <sheetProtection/>
  <mergeCells count="1">
    <mergeCell ref="A10:B10"/>
  </mergeCells>
  <hyperlinks>
    <hyperlink ref="E1" location="'Inserimento dati'!A1" display="InsDati"/>
    <hyperlink ref="F1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21.421875" style="21" customWidth="1"/>
    <col min="2" max="6" width="12.7109375" style="21" customWidth="1"/>
    <col min="7" max="7" width="9.140625" style="21" customWidth="1"/>
    <col min="8" max="8" width="15.7109375" style="21" customWidth="1"/>
    <col min="9" max="9" width="23.57421875" style="21" customWidth="1"/>
    <col min="10" max="10" width="24.421875" style="21" customWidth="1"/>
    <col min="11" max="16384" width="9.140625" style="21" customWidth="1"/>
  </cols>
  <sheetData>
    <row r="1" spans="1:8" ht="15.75" customHeight="1">
      <c r="A1" s="3" t="s">
        <v>528</v>
      </c>
      <c r="H1" s="555" t="s">
        <v>624</v>
      </c>
    </row>
    <row r="2" spans="1:8" ht="15.75" customHeight="1">
      <c r="A2" s="3"/>
      <c r="F2" s="855" t="str">
        <f>"Tab. 25 - Comune di "&amp;Comune</f>
        <v>Tab. 25 - Comune di </v>
      </c>
      <c r="H2" s="769" t="s">
        <v>777</v>
      </c>
    </row>
    <row r="3" spans="1:6" ht="15">
      <c r="A3" s="1159" t="s">
        <v>42</v>
      </c>
      <c r="B3" s="1160"/>
      <c r="C3" s="1160"/>
      <c r="D3" s="1160"/>
      <c r="E3" s="1160"/>
      <c r="F3" s="1161"/>
    </row>
    <row r="4" spans="1:6" ht="2.25" customHeight="1">
      <c r="A4" s="238"/>
      <c r="B4" s="239"/>
      <c r="C4" s="240"/>
      <c r="D4" s="240"/>
      <c r="E4" s="240"/>
      <c r="F4" s="241"/>
    </row>
    <row r="5" spans="1:6" ht="2.25" customHeight="1">
      <c r="A5" s="242"/>
      <c r="B5" s="243"/>
      <c r="C5" s="244"/>
      <c r="D5" s="244"/>
      <c r="E5" s="244"/>
      <c r="F5" s="245"/>
    </row>
    <row r="6" spans="1:6" ht="15">
      <c r="A6" s="246"/>
      <c r="B6" s="247"/>
      <c r="C6" s="248"/>
      <c r="D6" s="248"/>
      <c r="E6" s="248"/>
      <c r="F6" s="248"/>
    </row>
    <row r="7" spans="1:6" ht="32.25" thickBot="1">
      <c r="A7" s="249" t="s">
        <v>970</v>
      </c>
      <c r="B7" s="249" t="s">
        <v>274</v>
      </c>
      <c r="C7" s="249" t="s">
        <v>40</v>
      </c>
      <c r="D7" s="250" t="s">
        <v>275</v>
      </c>
      <c r="E7" s="250" t="s">
        <v>276</v>
      </c>
      <c r="F7" s="250" t="s">
        <v>277</v>
      </c>
    </row>
    <row r="8" spans="1:6" ht="15">
      <c r="A8" s="247"/>
      <c r="B8" s="247"/>
      <c r="C8" s="248"/>
      <c r="D8" s="248"/>
      <c r="E8" s="248"/>
      <c r="F8" s="248"/>
    </row>
    <row r="9" spans="1:6" ht="15">
      <c r="A9" s="270" t="s">
        <v>149</v>
      </c>
      <c r="B9" s="252"/>
      <c r="C9" s="252"/>
      <c r="D9" s="252">
        <f aca="true" t="shared" si="0" ref="D9:D16">B9-C9</f>
        <v>0</v>
      </c>
      <c r="E9" s="253" t="e">
        <f>(B9*2)/C9</f>
        <v>#DIV/0!</v>
      </c>
      <c r="F9" s="253"/>
    </row>
    <row r="10" spans="1:6" ht="15">
      <c r="A10" s="271" t="s">
        <v>43</v>
      </c>
      <c r="B10" s="254"/>
      <c r="C10" s="254"/>
      <c r="D10" s="254">
        <f t="shared" si="0"/>
        <v>0</v>
      </c>
      <c r="E10" s="255" t="e">
        <f aca="true" t="shared" si="1" ref="E10:E17">B10/C10</f>
        <v>#DIV/0!</v>
      </c>
      <c r="F10" s="256"/>
    </row>
    <row r="11" spans="1:6" ht="15">
      <c r="A11" s="271" t="s">
        <v>150</v>
      </c>
      <c r="B11" s="254"/>
      <c r="C11" s="254"/>
      <c r="D11" s="254">
        <f t="shared" si="0"/>
        <v>0</v>
      </c>
      <c r="E11" s="255" t="e">
        <f t="shared" si="1"/>
        <v>#DIV/0!</v>
      </c>
      <c r="F11" s="255"/>
    </row>
    <row r="12" spans="1:6" ht="15">
      <c r="A12" s="271" t="s">
        <v>44</v>
      </c>
      <c r="B12" s="254"/>
      <c r="C12" s="254"/>
      <c r="D12" s="254">
        <f t="shared" si="0"/>
        <v>0</v>
      </c>
      <c r="E12" s="255" t="e">
        <f t="shared" si="1"/>
        <v>#DIV/0!</v>
      </c>
      <c r="F12" s="255"/>
    </row>
    <row r="13" spans="1:6" ht="15">
      <c r="A13" s="271" t="s">
        <v>151</v>
      </c>
      <c r="B13" s="254"/>
      <c r="C13" s="254"/>
      <c r="D13" s="254">
        <f t="shared" si="0"/>
        <v>0</v>
      </c>
      <c r="E13" s="255" t="e">
        <f t="shared" si="1"/>
        <v>#DIV/0!</v>
      </c>
      <c r="F13" s="255"/>
    </row>
    <row r="14" spans="1:6" ht="15">
      <c r="A14" s="271" t="s">
        <v>278</v>
      </c>
      <c r="B14" s="254"/>
      <c r="C14" s="254"/>
      <c r="D14" s="254">
        <f t="shared" si="0"/>
        <v>0</v>
      </c>
      <c r="E14" s="255" t="e">
        <f t="shared" si="1"/>
        <v>#DIV/0!</v>
      </c>
      <c r="F14" s="255"/>
    </row>
    <row r="15" spans="1:6" ht="15">
      <c r="A15" s="271" t="s">
        <v>152</v>
      </c>
      <c r="B15" s="254"/>
      <c r="C15" s="254"/>
      <c r="D15" s="254">
        <f t="shared" si="0"/>
        <v>0</v>
      </c>
      <c r="E15" s="255" t="e">
        <f t="shared" si="1"/>
        <v>#DIV/0!</v>
      </c>
      <c r="F15" s="255"/>
    </row>
    <row r="16" spans="1:6" ht="15">
      <c r="A16" s="272" t="s">
        <v>45</v>
      </c>
      <c r="B16" s="254"/>
      <c r="C16" s="254"/>
      <c r="D16" s="254">
        <f t="shared" si="0"/>
        <v>0</v>
      </c>
      <c r="E16" s="255" t="e">
        <f t="shared" si="1"/>
        <v>#DIV/0!</v>
      </c>
      <c r="F16" s="255"/>
    </row>
    <row r="17" spans="1:6" ht="15">
      <c r="A17" s="258" t="s">
        <v>279</v>
      </c>
      <c r="B17" s="259">
        <f>SUM(B9:B16)</f>
        <v>0</v>
      </c>
      <c r="C17" s="259">
        <f>SUM(C9:C16)</f>
        <v>0</v>
      </c>
      <c r="D17" s="259">
        <f>SUM(D9:D16)</f>
        <v>0</v>
      </c>
      <c r="E17" s="260" t="e">
        <f t="shared" si="1"/>
        <v>#DIV/0!</v>
      </c>
      <c r="F17" s="260"/>
    </row>
    <row r="18" spans="1:6" ht="15">
      <c r="A18" s="261"/>
      <c r="B18" s="262"/>
      <c r="C18" s="262"/>
      <c r="D18" s="262"/>
      <c r="E18" s="263"/>
      <c r="F18" s="263"/>
    </row>
    <row r="19" ht="15">
      <c r="F19" s="855" t="str">
        <f>"Tab. 26 - Comune di "&amp;Comune</f>
        <v>Tab. 26 - Comune di </v>
      </c>
    </row>
    <row r="20" spans="1:6" ht="15">
      <c r="A20" s="1159" t="s">
        <v>280</v>
      </c>
      <c r="B20" s="1160"/>
      <c r="C20" s="1160"/>
      <c r="D20" s="1160"/>
      <c r="E20" s="1160"/>
      <c r="F20" s="1161"/>
    </row>
    <row r="21" spans="1:6" ht="3" customHeight="1">
      <c r="A21" s="238"/>
      <c r="B21" s="239"/>
      <c r="C21" s="240"/>
      <c r="D21" s="240"/>
      <c r="E21" s="240"/>
      <c r="F21" s="241"/>
    </row>
    <row r="22" spans="1:6" ht="3" customHeight="1">
      <c r="A22" s="242"/>
      <c r="B22" s="243"/>
      <c r="C22" s="244"/>
      <c r="D22" s="244"/>
      <c r="E22" s="244"/>
      <c r="F22" s="245"/>
    </row>
    <row r="23" spans="1:6" ht="4.5" customHeight="1">
      <c r="A23" s="246"/>
      <c r="B23" s="247"/>
      <c r="C23" s="248"/>
      <c r="D23" s="248"/>
      <c r="E23" s="248"/>
      <c r="F23" s="248"/>
    </row>
    <row r="24" spans="1:6" ht="32.25" thickBot="1">
      <c r="A24" s="249" t="s">
        <v>970</v>
      </c>
      <c r="B24" s="249" t="s">
        <v>274</v>
      </c>
      <c r="C24" s="249" t="s">
        <v>40</v>
      </c>
      <c r="D24" s="250" t="s">
        <v>275</v>
      </c>
      <c r="E24" s="250" t="s">
        <v>281</v>
      </c>
      <c r="F24" s="250" t="s">
        <v>282</v>
      </c>
    </row>
    <row r="25" spans="1:6" ht="15">
      <c r="A25" s="247"/>
      <c r="B25" s="248"/>
      <c r="C25" s="248"/>
      <c r="D25" s="248"/>
      <c r="E25" s="248"/>
      <c r="F25" s="248"/>
    </row>
    <row r="26" spans="1:6" ht="15">
      <c r="A26" s="251" t="s">
        <v>283</v>
      </c>
      <c r="B26" s="252"/>
      <c r="C26" s="252"/>
      <c r="D26" s="252">
        <f>C26-B26</f>
        <v>0</v>
      </c>
      <c r="E26" s="264" t="e">
        <f>B26/C26</f>
        <v>#DIV/0!</v>
      </c>
      <c r="F26" s="264"/>
    </row>
    <row r="27" spans="1:6" ht="15">
      <c r="A27" s="265" t="s">
        <v>284</v>
      </c>
      <c r="B27" s="254"/>
      <c r="C27" s="254"/>
      <c r="D27" s="254">
        <f>C27-B27</f>
        <v>0</v>
      </c>
      <c r="E27" s="266" t="e">
        <f>B27/C27</f>
        <v>#DIV/0!</v>
      </c>
      <c r="F27" s="266"/>
    </row>
    <row r="28" spans="1:6" ht="15">
      <c r="A28" s="265" t="s">
        <v>285</v>
      </c>
      <c r="B28" s="254"/>
      <c r="C28" s="254"/>
      <c r="D28" s="254">
        <f>C28-B28</f>
        <v>0</v>
      </c>
      <c r="E28" s="266" t="e">
        <f>B28/C28</f>
        <v>#DIV/0!</v>
      </c>
      <c r="F28" s="266"/>
    </row>
    <row r="29" spans="1:6" ht="15">
      <c r="A29" s="267" t="s">
        <v>45</v>
      </c>
      <c r="B29" s="257"/>
      <c r="C29" s="257"/>
      <c r="D29" s="257">
        <f>C29-B29</f>
        <v>0</v>
      </c>
      <c r="E29" s="268" t="e">
        <f>B29/C29</f>
        <v>#DIV/0!</v>
      </c>
      <c r="F29" s="268"/>
    </row>
    <row r="32" ht="18.75" customHeight="1"/>
    <row r="33" spans="1:6" ht="15">
      <c r="A33" s="1162" t="s">
        <v>47</v>
      </c>
      <c r="B33" s="1163"/>
      <c r="C33" s="1163"/>
      <c r="D33" s="1163"/>
      <c r="E33" s="1163"/>
      <c r="F33" s="1164"/>
    </row>
    <row r="34" spans="1:6" ht="3" customHeight="1">
      <c r="A34" s="822"/>
      <c r="B34" s="823"/>
      <c r="C34" s="824"/>
      <c r="D34" s="824"/>
      <c r="E34" s="824"/>
      <c r="F34" s="825"/>
    </row>
    <row r="35" spans="1:6" ht="3" customHeight="1">
      <c r="A35" s="826"/>
      <c r="B35" s="827"/>
      <c r="C35" s="828"/>
      <c r="D35" s="828"/>
      <c r="E35" s="828"/>
      <c r="F35" s="829"/>
    </row>
    <row r="36" spans="1:6" ht="6" customHeight="1">
      <c r="A36" s="830"/>
      <c r="B36" s="831"/>
      <c r="C36" s="832"/>
      <c r="D36" s="832"/>
      <c r="E36" s="832"/>
      <c r="F36" s="832"/>
    </row>
    <row r="37" spans="1:6" ht="32.25" thickBot="1">
      <c r="A37" s="833" t="s">
        <v>970</v>
      </c>
      <c r="B37" s="833" t="s">
        <v>274</v>
      </c>
      <c r="C37" s="833" t="s">
        <v>40</v>
      </c>
      <c r="D37" s="834" t="s">
        <v>275</v>
      </c>
      <c r="E37" s="834" t="s">
        <v>286</v>
      </c>
      <c r="F37" s="834" t="s">
        <v>287</v>
      </c>
    </row>
    <row r="38" spans="1:6" ht="8.25" customHeight="1">
      <c r="A38" s="831"/>
      <c r="B38" s="832"/>
      <c r="C38" s="832"/>
      <c r="D38" s="832"/>
      <c r="E38" s="832"/>
      <c r="F38" s="832"/>
    </row>
    <row r="39" spans="1:6" ht="15">
      <c r="A39" s="835" t="s">
        <v>48</v>
      </c>
      <c r="B39" s="836"/>
      <c r="C39" s="836"/>
      <c r="D39" s="836">
        <f>+B39-C39</f>
        <v>0</v>
      </c>
      <c r="E39" s="837" t="e">
        <f aca="true" t="shared" si="2" ref="E39:E44">B39/C39</f>
        <v>#DIV/0!</v>
      </c>
      <c r="F39" s="837"/>
    </row>
    <row r="40" spans="1:6" ht="15">
      <c r="A40" s="838" t="s">
        <v>49</v>
      </c>
      <c r="B40" s="839"/>
      <c r="C40" s="839"/>
      <c r="D40" s="839">
        <f>+B40-C40</f>
        <v>0</v>
      </c>
      <c r="E40" s="840" t="e">
        <f t="shared" si="2"/>
        <v>#DIV/0!</v>
      </c>
      <c r="F40" s="840"/>
    </row>
    <row r="41" spans="1:6" ht="15">
      <c r="A41" s="838" t="s">
        <v>50</v>
      </c>
      <c r="B41" s="839"/>
      <c r="C41" s="839"/>
      <c r="D41" s="839">
        <f>+B41-C41</f>
        <v>0</v>
      </c>
      <c r="E41" s="840" t="e">
        <f t="shared" si="2"/>
        <v>#DIV/0!</v>
      </c>
      <c r="F41" s="840"/>
    </row>
    <row r="42" spans="1:6" ht="15">
      <c r="A42" s="838" t="s">
        <v>51</v>
      </c>
      <c r="B42" s="839"/>
      <c r="C42" s="839"/>
      <c r="D42" s="839">
        <f>+B42-C42</f>
        <v>0</v>
      </c>
      <c r="E42" s="840" t="e">
        <f t="shared" si="2"/>
        <v>#DIV/0!</v>
      </c>
      <c r="F42" s="840"/>
    </row>
    <row r="43" spans="1:6" ht="15">
      <c r="A43" s="838" t="s">
        <v>52</v>
      </c>
      <c r="B43" s="839"/>
      <c r="C43" s="839"/>
      <c r="D43" s="839">
        <f>+B43-C43</f>
        <v>0</v>
      </c>
      <c r="E43" s="840" t="e">
        <f t="shared" si="2"/>
        <v>#DIV/0!</v>
      </c>
      <c r="F43" s="840"/>
    </row>
    <row r="44" spans="1:6" ht="15">
      <c r="A44" s="841" t="s">
        <v>45</v>
      </c>
      <c r="B44" s="842"/>
      <c r="C44" s="842"/>
      <c r="D44" s="842">
        <v>0</v>
      </c>
      <c r="E44" s="843" t="e">
        <f t="shared" si="2"/>
        <v>#DIV/0!</v>
      </c>
      <c r="F44" s="843"/>
    </row>
  </sheetData>
  <sheetProtection/>
  <mergeCells count="3">
    <mergeCell ref="A3:F3"/>
    <mergeCell ref="A20:F20"/>
    <mergeCell ref="A33:F33"/>
  </mergeCell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2.28125" style="579" customWidth="1"/>
    <col min="2" max="3" width="14.7109375" style="579" customWidth="1"/>
    <col min="4" max="5" width="10.57421875" style="579" bestFit="1" customWidth="1"/>
    <col min="6" max="6" width="9.140625" style="579" customWidth="1"/>
    <col min="7" max="7" width="19.57421875" style="579" customWidth="1"/>
    <col min="8" max="8" width="21.140625" style="579" customWidth="1"/>
    <col min="9" max="16384" width="9.140625" style="579" customWidth="1"/>
  </cols>
  <sheetData>
    <row r="1" spans="5:7" ht="12.75">
      <c r="E1" s="855" t="str">
        <f>"Tab. 26 - "&amp;Comune</f>
        <v>Tab. 26 - </v>
      </c>
      <c r="G1" s="555" t="s">
        <v>624</v>
      </c>
    </row>
    <row r="2" spans="1:7" ht="15">
      <c r="A2" s="1165" t="s">
        <v>42</v>
      </c>
      <c r="B2" s="1166"/>
      <c r="C2" s="1166"/>
      <c r="D2" s="1166"/>
      <c r="E2" s="1167"/>
      <c r="G2" s="748" t="s">
        <v>777</v>
      </c>
    </row>
    <row r="3" spans="1:7" ht="34.5" customHeight="1" thickBot="1">
      <c r="A3" s="605"/>
      <c r="B3" s="606" t="s">
        <v>1083</v>
      </c>
      <c r="C3" s="607" t="s">
        <v>1084</v>
      </c>
      <c r="D3" s="607" t="s">
        <v>1085</v>
      </c>
      <c r="E3" s="607" t="s">
        <v>677</v>
      </c>
      <c r="G3" s="21"/>
    </row>
    <row r="4" spans="1:8" ht="5.25" customHeight="1">
      <c r="A4" s="605"/>
      <c r="B4" s="608"/>
      <c r="C4" s="608"/>
      <c r="D4" s="608"/>
      <c r="E4" s="608"/>
      <c r="H4" s="21"/>
    </row>
    <row r="5" spans="1:5" ht="12.75">
      <c r="A5" s="629" t="s">
        <v>149</v>
      </c>
      <c r="B5" s="609"/>
      <c r="C5" s="609"/>
      <c r="D5" s="610" t="e">
        <f>ROUND(B5/C5,4)</f>
        <v>#DIV/0!</v>
      </c>
      <c r="E5" s="611"/>
    </row>
    <row r="6" spans="1:5" ht="12.75">
      <c r="A6" s="630" t="s">
        <v>43</v>
      </c>
      <c r="B6" s="612"/>
      <c r="C6" s="612"/>
      <c r="D6" s="613" t="e">
        <f>ROUND(B6/C6,4)</f>
        <v>#DIV/0!</v>
      </c>
      <c r="E6" s="613"/>
    </row>
    <row r="7" spans="1:5" ht="12.75">
      <c r="A7" s="630" t="s">
        <v>150</v>
      </c>
      <c r="B7" s="612"/>
      <c r="C7" s="612"/>
      <c r="D7" s="613" t="e">
        <f aca="true" t="shared" si="0" ref="D7:D13">ROUND(B7/C7,4)</f>
        <v>#DIV/0!</v>
      </c>
      <c r="E7" s="613"/>
    </row>
    <row r="8" spans="1:5" ht="12.75">
      <c r="A8" s="630" t="s">
        <v>44</v>
      </c>
      <c r="B8" s="612"/>
      <c r="C8" s="612"/>
      <c r="D8" s="613" t="e">
        <f t="shared" si="0"/>
        <v>#DIV/0!</v>
      </c>
      <c r="E8" s="613"/>
    </row>
    <row r="9" spans="1:5" ht="12.75">
      <c r="A9" s="630" t="s">
        <v>151</v>
      </c>
      <c r="B9" s="612"/>
      <c r="C9" s="612"/>
      <c r="D9" s="613" t="e">
        <f t="shared" si="0"/>
        <v>#DIV/0!</v>
      </c>
      <c r="E9" s="613"/>
    </row>
    <row r="10" spans="1:5" ht="12.75">
      <c r="A10" s="630" t="s">
        <v>680</v>
      </c>
      <c r="B10" s="612"/>
      <c r="C10" s="612"/>
      <c r="D10" s="613" t="e">
        <f t="shared" si="0"/>
        <v>#DIV/0!</v>
      </c>
      <c r="E10" s="613"/>
    </row>
    <row r="11" spans="1:5" ht="12.75">
      <c r="A11" s="630" t="s">
        <v>152</v>
      </c>
      <c r="B11" s="612"/>
      <c r="C11" s="612"/>
      <c r="D11" s="613" t="e">
        <f t="shared" si="0"/>
        <v>#DIV/0!</v>
      </c>
      <c r="E11" s="613"/>
    </row>
    <row r="12" spans="1:5" ht="12.75">
      <c r="A12" s="631" t="s">
        <v>45</v>
      </c>
      <c r="B12" s="612"/>
      <c r="C12" s="612"/>
      <c r="D12" s="613" t="e">
        <f t="shared" si="0"/>
        <v>#DIV/0!</v>
      </c>
      <c r="E12" s="613"/>
    </row>
    <row r="13" spans="1:5" ht="12.75">
      <c r="A13" s="614" t="s">
        <v>46</v>
      </c>
      <c r="B13" s="615">
        <f>SUM(B5:B12)</f>
        <v>0</v>
      </c>
      <c r="C13" s="615">
        <f>SUM(C5:C12)</f>
        <v>0</v>
      </c>
      <c r="D13" s="616" t="e">
        <f t="shared" si="0"/>
        <v>#DIV/0!</v>
      </c>
      <c r="E13" s="616" t="s">
        <v>678</v>
      </c>
    </row>
    <row r="14" spans="1:5" ht="12.75">
      <c r="A14" s="617"/>
      <c r="B14" s="617"/>
      <c r="C14" s="617"/>
      <c r="D14" s="617"/>
      <c r="E14" s="617"/>
    </row>
    <row r="15" spans="1:5" ht="12.75" hidden="1" outlineLevel="1">
      <c r="A15" s="617"/>
      <c r="B15" s="617"/>
      <c r="C15" s="617"/>
      <c r="D15" s="617"/>
      <c r="E15" s="597" t="s">
        <v>681</v>
      </c>
    </row>
    <row r="16" spans="1:5" ht="15" hidden="1" outlineLevel="1">
      <c r="A16" s="1165" t="s">
        <v>47</v>
      </c>
      <c r="B16" s="1166"/>
      <c r="C16" s="1166"/>
      <c r="D16" s="1166"/>
      <c r="E16" s="1167"/>
    </row>
    <row r="17" spans="1:5" ht="32.25" hidden="1" outlineLevel="1" thickBot="1">
      <c r="A17" s="618"/>
      <c r="B17" s="606" t="s">
        <v>772</v>
      </c>
      <c r="C17" s="607" t="s">
        <v>679</v>
      </c>
      <c r="D17" s="607" t="s">
        <v>677</v>
      </c>
      <c r="E17" s="607" t="s">
        <v>676</v>
      </c>
    </row>
    <row r="18" spans="1:5" ht="3.75" customHeight="1" hidden="1" outlineLevel="1">
      <c r="A18" s="605"/>
      <c r="B18" s="619"/>
      <c r="C18" s="619"/>
      <c r="D18" s="619"/>
      <c r="E18" s="619"/>
    </row>
    <row r="19" spans="1:5" ht="12.75" hidden="1" outlineLevel="1">
      <c r="A19" s="620" t="s">
        <v>48</v>
      </c>
      <c r="B19" s="621"/>
      <c r="C19" s="621"/>
      <c r="D19" s="622">
        <f>IF(OR(B19=0,C19=0),"",(B19/C19))</f>
      </c>
      <c r="E19" s="622"/>
    </row>
    <row r="20" spans="1:5" ht="12.75" hidden="1" outlineLevel="1">
      <c r="A20" s="623" t="s">
        <v>49</v>
      </c>
      <c r="B20" s="624"/>
      <c r="C20" s="624"/>
      <c r="D20" s="625">
        <f>IF(OR(B20=0,C20=0),"",(B20/C20))</f>
      </c>
      <c r="E20" s="625"/>
    </row>
    <row r="21" spans="1:5" ht="12.75" hidden="1" outlineLevel="1">
      <c r="A21" s="623" t="s">
        <v>50</v>
      </c>
      <c r="B21" s="624"/>
      <c r="C21" s="624"/>
      <c r="D21" s="625"/>
      <c r="E21" s="625"/>
    </row>
    <row r="22" spans="1:5" ht="12.75" hidden="1" outlineLevel="1">
      <c r="A22" s="623" t="s">
        <v>51</v>
      </c>
      <c r="B22" s="624"/>
      <c r="C22" s="624"/>
      <c r="D22" s="625">
        <f>IF(OR(B22=0,C22=0),"",(B22/C22))</f>
      </c>
      <c r="E22" s="625"/>
    </row>
    <row r="23" spans="1:5" ht="12.75" hidden="1" outlineLevel="1">
      <c r="A23" s="623" t="s">
        <v>52</v>
      </c>
      <c r="B23" s="624"/>
      <c r="C23" s="624"/>
      <c r="D23" s="625">
        <f>IF(OR(B23=0,C23=0),"",(B23/C23))</f>
      </c>
      <c r="E23" s="625"/>
    </row>
    <row r="24" spans="1:5" ht="12.75" hidden="1" outlineLevel="1">
      <c r="A24" s="626" t="s">
        <v>45</v>
      </c>
      <c r="B24" s="627"/>
      <c r="C24" s="627"/>
      <c r="D24" s="628">
        <f>IF(OR(B24=0,C24=0),"",(B24/C24))</f>
      </c>
      <c r="E24" s="628"/>
    </row>
    <row r="25" ht="12.75" hidden="1" outlineLevel="1"/>
    <row r="26" ht="12.75" collapsed="1"/>
  </sheetData>
  <sheetProtection/>
  <mergeCells count="2">
    <mergeCell ref="A2:E2"/>
    <mergeCell ref="A16:E16"/>
  </mergeCells>
  <hyperlinks>
    <hyperlink ref="G1" location="'Inserimento dati'!A1" display="InsDati"/>
    <hyperlink ref="G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4" width="22.140625" style="21" customWidth="1"/>
    <col min="5" max="5" width="9.140625" style="21" customWidth="1"/>
    <col min="6" max="9" width="21.140625" style="21" customWidth="1"/>
    <col min="10" max="16384" width="9.140625" style="21" customWidth="1"/>
  </cols>
  <sheetData>
    <row r="1" spans="1:5" ht="15.75">
      <c r="A1" s="100" t="s">
        <v>289</v>
      </c>
      <c r="E1" s="555" t="s">
        <v>624</v>
      </c>
    </row>
    <row r="2" spans="3:8" ht="15">
      <c r="C2" s="855" t="str">
        <f>"Tab. 27 - "&amp;Comune</f>
        <v>Tab. 27 - </v>
      </c>
      <c r="E2" s="748" t="s">
        <v>777</v>
      </c>
      <c r="H2" s="597"/>
    </row>
    <row r="3" spans="1:8" ht="31.5" customHeight="1">
      <c r="A3" s="314" t="s">
        <v>571</v>
      </c>
      <c r="B3" s="314" t="s">
        <v>1086</v>
      </c>
      <c r="C3" s="314" t="s">
        <v>99</v>
      </c>
      <c r="H3" s="597"/>
    </row>
    <row r="4" spans="1:8" ht="15">
      <c r="A4" s="274">
        <f>CDS12</f>
        <v>0</v>
      </c>
      <c r="B4" s="274">
        <f>+CDS13</f>
        <v>0</v>
      </c>
      <c r="C4" s="274">
        <f>+CDSP14</f>
        <v>0</v>
      </c>
      <c r="H4" s="597"/>
    </row>
    <row r="5" ht="15">
      <c r="H5" s="597"/>
    </row>
    <row r="6" spans="1:8" ht="15.75">
      <c r="A6" s="100" t="s">
        <v>290</v>
      </c>
      <c r="H6" s="597"/>
    </row>
    <row r="7" spans="4:9" ht="15">
      <c r="D7" s="855" t="str">
        <f>"Tab. 28 - "&amp;Comune</f>
        <v>Tab. 28 - </v>
      </c>
      <c r="I7" s="597"/>
    </row>
    <row r="8" spans="1:4" ht="15">
      <c r="A8" s="844"/>
      <c r="B8" s="314" t="s">
        <v>571</v>
      </c>
      <c r="C8" s="314" t="s">
        <v>1086</v>
      </c>
      <c r="D8" s="314" t="s">
        <v>99</v>
      </c>
    </row>
    <row r="9" spans="1:4" ht="27" customHeight="1">
      <c r="A9" s="478" t="s">
        <v>530</v>
      </c>
      <c r="B9" s="319">
        <f>+CDSco12</f>
        <v>0</v>
      </c>
      <c r="C9" s="319">
        <f>+CDSco13</f>
        <v>0</v>
      </c>
      <c r="D9" s="319">
        <f>+CDScoP14</f>
        <v>0</v>
      </c>
    </row>
    <row r="10" spans="1:4" ht="27" customHeight="1">
      <c r="A10" s="478" t="s">
        <v>531</v>
      </c>
      <c r="B10" s="479" t="e">
        <f>+ROUND(CDSco12/CDS12,4)</f>
        <v>#DIV/0!</v>
      </c>
      <c r="C10" s="479" t="e">
        <f>+ROUND(CDSco13/CDS13,4)</f>
        <v>#DIV/0!</v>
      </c>
      <c r="D10" s="479" t="e">
        <f>+ROUND(CDScoP14/CDSP14,4)</f>
        <v>#DIV/0!</v>
      </c>
    </row>
    <row r="11" spans="1:4" ht="27" customHeight="1">
      <c r="A11" s="478" t="s">
        <v>53</v>
      </c>
      <c r="B11" s="319">
        <f>+CDSca12</f>
        <v>0</v>
      </c>
      <c r="C11" s="319">
        <f>+CDSca13</f>
        <v>0</v>
      </c>
      <c r="D11" s="319">
        <f>+CDScaP14</f>
        <v>0</v>
      </c>
    </row>
    <row r="12" spans="1:4" ht="27" customHeight="1">
      <c r="A12" s="478" t="s">
        <v>532</v>
      </c>
      <c r="B12" s="479" t="e">
        <f>+ROUND(CDSca12/CDS12,4)</f>
        <v>#DIV/0!</v>
      </c>
      <c r="C12" s="479" t="e">
        <f>+ROUND(CDSca13/CDS13,4)</f>
        <v>#DIV/0!</v>
      </c>
      <c r="D12" s="479" t="e">
        <f>+ROUND(CDScaP14/CDSP14,4)</f>
        <v>#DIV/0!</v>
      </c>
    </row>
    <row r="14" ht="15" hidden="1" outlineLevel="1">
      <c r="A14" s="3" t="s">
        <v>529</v>
      </c>
    </row>
    <row r="15" spans="1:3" ht="15" hidden="1" outlineLevel="1">
      <c r="A15" s="3"/>
      <c r="C15" s="855" t="str">
        <f>"Tab. 29 - Comune di "&amp;Comune</f>
        <v>Tab. 29 - Comune di </v>
      </c>
    </row>
    <row r="16" spans="1:3" ht="15.75" hidden="1" outlineLevel="1" thickBot="1">
      <c r="A16" s="770"/>
      <c r="B16" s="186" t="s">
        <v>23</v>
      </c>
      <c r="C16" s="186" t="s">
        <v>71</v>
      </c>
    </row>
    <row r="17" spans="1:3" ht="15" hidden="1" outlineLevel="1">
      <c r="A17" s="480" t="s">
        <v>964</v>
      </c>
      <c r="B17" s="193">
        <v>0</v>
      </c>
      <c r="C17" s="194" t="e">
        <f>+ROUND(B17/$B$17,4)</f>
        <v>#DIV/0!</v>
      </c>
    </row>
    <row r="18" spans="1:3" ht="15" hidden="1" outlineLevel="1">
      <c r="A18" s="481" t="s">
        <v>965</v>
      </c>
      <c r="B18" s="189">
        <v>0</v>
      </c>
      <c r="C18" s="195" t="e">
        <f>+ROUND(B18/$B$17,4)</f>
        <v>#DIV/0!</v>
      </c>
    </row>
    <row r="19" spans="1:3" ht="15" hidden="1" outlineLevel="1">
      <c r="A19" s="481" t="s">
        <v>247</v>
      </c>
      <c r="B19" s="189">
        <v>0</v>
      </c>
      <c r="C19" s="195" t="e">
        <f>+ROUND(B19/$B$17,4)</f>
        <v>#DIV/0!</v>
      </c>
    </row>
    <row r="20" spans="1:3" ht="26.25" hidden="1" outlineLevel="1" thickBot="1">
      <c r="A20" s="482" t="s">
        <v>966</v>
      </c>
      <c r="B20" s="196">
        <f>+B17-B18-B19</f>
        <v>0</v>
      </c>
      <c r="C20" s="197" t="e">
        <f>+ROUND(B20/$B$17,4)</f>
        <v>#DIV/0!</v>
      </c>
    </row>
    <row r="21" spans="1:3" ht="26.25" hidden="1" outlineLevel="1" thickBot="1">
      <c r="A21" s="483" t="s">
        <v>248</v>
      </c>
      <c r="B21" s="477">
        <v>0</v>
      </c>
      <c r="C21" s="475"/>
    </row>
    <row r="22" spans="1:3" ht="15.75" hidden="1" outlineLevel="1" thickBot="1">
      <c r="A22" s="484" t="s">
        <v>249</v>
      </c>
      <c r="B22" s="198">
        <v>0</v>
      </c>
      <c r="C22" s="472"/>
    </row>
    <row r="23" ht="15" hidden="1" outlineLevel="1"/>
    <row r="24" ht="15" collapsed="1"/>
    <row r="25" spans="1:6" ht="15">
      <c r="A25" s="459" t="s">
        <v>523</v>
      </c>
      <c r="B25" s="460"/>
      <c r="C25" s="460"/>
      <c r="D25" s="460"/>
      <c r="E25" s="460"/>
      <c r="F25" s="461"/>
    </row>
  </sheetData>
  <sheetProtection/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35.421875" style="21" customWidth="1"/>
    <col min="2" max="2" width="22.140625" style="21" customWidth="1"/>
    <col min="3" max="4" width="22.7109375" style="21" customWidth="1"/>
    <col min="5" max="16384" width="9.140625" style="21" customWidth="1"/>
  </cols>
  <sheetData>
    <row r="1" spans="1:4" ht="15">
      <c r="A1" s="3" t="s">
        <v>533</v>
      </c>
      <c r="D1" s="555" t="s">
        <v>624</v>
      </c>
    </row>
    <row r="2" ht="15">
      <c r="D2" s="748" t="s">
        <v>777</v>
      </c>
    </row>
    <row r="3" ht="15">
      <c r="C3" s="855" t="str">
        <f>"Tab. 30 - Comune di "&amp;Comune</f>
        <v>Tab. 30 - Comune di </v>
      </c>
    </row>
    <row r="4" spans="1:3" ht="15.75" thickBot="1">
      <c r="A4" s="770"/>
      <c r="B4" s="186" t="s">
        <v>23</v>
      </c>
      <c r="C4" s="186" t="s">
        <v>71</v>
      </c>
    </row>
    <row r="5" spans="1:3" ht="15">
      <c r="A5" s="218" t="s">
        <v>964</v>
      </c>
      <c r="B5" s="193"/>
      <c r="C5" s="194" t="e">
        <f>+ROUND(B5/$B$5,4)</f>
        <v>#DIV/0!</v>
      </c>
    </row>
    <row r="6" spans="1:3" ht="15">
      <c r="A6" s="219" t="s">
        <v>965</v>
      </c>
      <c r="B6" s="189"/>
      <c r="C6" s="195" t="e">
        <f>+ROUND(B6/$B$5,4)</f>
        <v>#DIV/0!</v>
      </c>
    </row>
    <row r="7" spans="1:3" ht="15">
      <c r="A7" s="219" t="s">
        <v>247</v>
      </c>
      <c r="B7" s="189"/>
      <c r="C7" s="195" t="e">
        <f>+ROUND(B7/$B$5,4)</f>
        <v>#DIV/0!</v>
      </c>
    </row>
    <row r="8" spans="1:3" ht="15.75" thickBot="1">
      <c r="A8" s="220" t="s">
        <v>966</v>
      </c>
      <c r="B8" s="196">
        <f>+B5-B6-B7</f>
        <v>0</v>
      </c>
      <c r="C8" s="197" t="e">
        <f>+ROUND(B8/$B$5,4)</f>
        <v>#DIV/0!</v>
      </c>
    </row>
    <row r="9" spans="1:3" ht="15.75" thickBot="1">
      <c r="A9" s="476" t="s">
        <v>248</v>
      </c>
      <c r="B9" s="477"/>
      <c r="C9" s="475"/>
    </row>
    <row r="10" spans="1:3" ht="15.75" thickBot="1">
      <c r="A10" s="221" t="s">
        <v>249</v>
      </c>
      <c r="B10" s="198"/>
      <c r="C10" s="472"/>
    </row>
  </sheetData>
  <sheetProtection/>
  <hyperlinks>
    <hyperlink ref="D1" location="'Inserimento dati'!A1" display="InsDati"/>
    <hyperlink ref="D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21" customWidth="1"/>
    <col min="2" max="2" width="30.8515625" style="21" customWidth="1"/>
    <col min="3" max="5" width="13.28125" style="21" customWidth="1"/>
    <col min="6" max="7" width="9.28125" style="21" bestFit="1" customWidth="1"/>
    <col min="8" max="9" width="15.7109375" style="21" customWidth="1"/>
    <col min="10" max="16384" width="9.140625" style="21" customWidth="1"/>
  </cols>
  <sheetData>
    <row r="1" spans="1:8" ht="15">
      <c r="A1" s="3" t="s">
        <v>534</v>
      </c>
      <c r="G1" s="555" t="s">
        <v>624</v>
      </c>
      <c r="H1" s="748" t="s">
        <v>777</v>
      </c>
    </row>
    <row r="2" ht="15">
      <c r="G2" s="855" t="str">
        <f>"Tab. 29 - "&amp;Comune</f>
        <v>Tab. 29 - </v>
      </c>
    </row>
    <row r="3" spans="1:7" ht="18">
      <c r="A3" s="1170" t="s">
        <v>291</v>
      </c>
      <c r="B3" s="1170"/>
      <c r="C3" s="1170"/>
      <c r="D3" s="1170"/>
      <c r="E3" s="1170"/>
      <c r="F3" s="1170"/>
      <c r="G3" s="1170"/>
    </row>
    <row r="4" spans="1:7" ht="3.75" customHeight="1">
      <c r="A4" s="1025"/>
      <c r="B4" s="1026"/>
      <c r="C4" s="1027"/>
      <c r="D4" s="1027"/>
      <c r="E4" s="1027"/>
      <c r="F4" s="1027"/>
      <c r="G4" s="1027"/>
    </row>
    <row r="5" spans="1:7" ht="23.25" thickBot="1">
      <c r="A5" s="1025"/>
      <c r="B5" s="1026"/>
      <c r="C5" s="1028" t="s">
        <v>569</v>
      </c>
      <c r="D5" s="1028" t="s">
        <v>1080</v>
      </c>
      <c r="E5" s="1028" t="s">
        <v>744</v>
      </c>
      <c r="F5" s="1028" t="s">
        <v>1087</v>
      </c>
      <c r="G5" s="1028" t="s">
        <v>1088</v>
      </c>
    </row>
    <row r="6" spans="1:7" ht="3" customHeight="1" thickTop="1">
      <c r="A6" s="1025"/>
      <c r="B6" s="1026"/>
      <c r="C6" s="1029"/>
      <c r="D6" s="1029"/>
      <c r="E6" s="1029"/>
      <c r="F6" s="1029"/>
      <c r="G6" s="1029"/>
    </row>
    <row r="7" spans="1:7" ht="15">
      <c r="A7" s="1030" t="s">
        <v>54</v>
      </c>
      <c r="B7" s="1031" t="s">
        <v>55</v>
      </c>
      <c r="C7" s="1032">
        <f>+I1C12</f>
        <v>0</v>
      </c>
      <c r="D7" s="1032">
        <f>+I1C13</f>
        <v>0</v>
      </c>
      <c r="E7" s="1032">
        <f>+I1P14</f>
        <v>0</v>
      </c>
      <c r="F7" s="1032">
        <f>+E7-D7</f>
        <v>0</v>
      </c>
      <c r="G7" s="1033" t="e">
        <f>+ROUND(F7/D7,4)</f>
        <v>#DIV/0!</v>
      </c>
    </row>
    <row r="8" spans="1:7" ht="15">
      <c r="A8" s="1034" t="s">
        <v>56</v>
      </c>
      <c r="B8" s="1035" t="s">
        <v>688</v>
      </c>
      <c r="C8" s="1036">
        <f>+I2C12</f>
        <v>0</v>
      </c>
      <c r="D8" s="1036">
        <f>+I2C13</f>
        <v>0</v>
      </c>
      <c r="E8" s="1036">
        <f>+I2P14</f>
        <v>0</v>
      </c>
      <c r="F8" s="1036">
        <f aca="true" t="shared" si="0" ref="F8:F17">+E8-D8</f>
        <v>0</v>
      </c>
      <c r="G8" s="1037" t="e">
        <f aca="true" t="shared" si="1" ref="G8:G17">+ROUND(F8/D8,4)</f>
        <v>#DIV/0!</v>
      </c>
    </row>
    <row r="9" spans="1:7" ht="15">
      <c r="A9" s="1038" t="s">
        <v>57</v>
      </c>
      <c r="B9" s="1039" t="s">
        <v>58</v>
      </c>
      <c r="C9" s="1036">
        <f>+I3C12</f>
        <v>0</v>
      </c>
      <c r="D9" s="1036">
        <f>+I3C13</f>
        <v>0</v>
      </c>
      <c r="E9" s="1036">
        <f>+I3P14</f>
        <v>0</v>
      </c>
      <c r="F9" s="1036">
        <f t="shared" si="0"/>
        <v>0</v>
      </c>
      <c r="G9" s="1037" t="e">
        <f t="shared" si="1"/>
        <v>#DIV/0!</v>
      </c>
    </row>
    <row r="10" spans="1:7" ht="15">
      <c r="A10" s="1038" t="s">
        <v>59</v>
      </c>
      <c r="B10" s="1039" t="s">
        <v>60</v>
      </c>
      <c r="C10" s="1036">
        <f>+I4C12</f>
        <v>0</v>
      </c>
      <c r="D10" s="1036">
        <f>+I4C13</f>
        <v>0</v>
      </c>
      <c r="E10" s="1036">
        <f>+I4P14</f>
        <v>0</v>
      </c>
      <c r="F10" s="1036">
        <f t="shared" si="0"/>
        <v>0</v>
      </c>
      <c r="G10" s="1037" t="e">
        <f t="shared" si="1"/>
        <v>#DIV/0!</v>
      </c>
    </row>
    <row r="11" spans="1:7" ht="15">
      <c r="A11" s="1038" t="s">
        <v>61</v>
      </c>
      <c r="B11" s="1039" t="s">
        <v>62</v>
      </c>
      <c r="C11" s="1036">
        <f>+I5C12</f>
        <v>0</v>
      </c>
      <c r="D11" s="1036">
        <f>+I5C13</f>
        <v>0</v>
      </c>
      <c r="E11" s="1036">
        <f>+I5P14</f>
        <v>0</v>
      </c>
      <c r="F11" s="1036">
        <f t="shared" si="0"/>
        <v>0</v>
      </c>
      <c r="G11" s="1037" t="e">
        <f t="shared" si="1"/>
        <v>#DIV/0!</v>
      </c>
    </row>
    <row r="12" spans="1:7" ht="15">
      <c r="A12" s="1034" t="s">
        <v>63</v>
      </c>
      <c r="B12" s="1040" t="s">
        <v>292</v>
      </c>
      <c r="C12" s="1036">
        <f>+I6C12</f>
        <v>0</v>
      </c>
      <c r="D12" s="1036">
        <f>+I6C13</f>
        <v>0</v>
      </c>
      <c r="E12" s="1036">
        <f>+I6P14</f>
        <v>0</v>
      </c>
      <c r="F12" s="1036">
        <f t="shared" si="0"/>
        <v>0</v>
      </c>
      <c r="G12" s="1037" t="e">
        <f t="shared" si="1"/>
        <v>#DIV/0!</v>
      </c>
    </row>
    <row r="13" spans="1:7" ht="15">
      <c r="A13" s="1038" t="s">
        <v>64</v>
      </c>
      <c r="B13" s="1039" t="s">
        <v>65</v>
      </c>
      <c r="C13" s="1036">
        <f>+I7C12</f>
        <v>0</v>
      </c>
      <c r="D13" s="1036">
        <f>+I7C13</f>
        <v>0</v>
      </c>
      <c r="E13" s="1036">
        <f>+I7P14</f>
        <v>0</v>
      </c>
      <c r="F13" s="1036">
        <f t="shared" si="0"/>
        <v>0</v>
      </c>
      <c r="G13" s="1037" t="e">
        <f t="shared" si="1"/>
        <v>#DIV/0!</v>
      </c>
    </row>
    <row r="14" spans="1:7" ht="15">
      <c r="A14" s="1034" t="s">
        <v>66</v>
      </c>
      <c r="B14" s="1040" t="s">
        <v>78</v>
      </c>
      <c r="C14" s="1036">
        <f>+I8C12</f>
        <v>0</v>
      </c>
      <c r="D14" s="1036">
        <f>+I8C13</f>
        <v>0</v>
      </c>
      <c r="E14" s="1036">
        <f>+I8P14</f>
        <v>0</v>
      </c>
      <c r="F14" s="1036">
        <f t="shared" si="0"/>
        <v>0</v>
      </c>
      <c r="G14" s="1037" t="e">
        <f t="shared" si="1"/>
        <v>#DIV/0!</v>
      </c>
    </row>
    <row r="15" spans="1:7" ht="15">
      <c r="A15" s="1038" t="s">
        <v>684</v>
      </c>
      <c r="B15" s="1039" t="s">
        <v>685</v>
      </c>
      <c r="C15" s="1036">
        <f>+I9C12</f>
        <v>0</v>
      </c>
      <c r="D15" s="1036">
        <f>+I9C13</f>
        <v>0</v>
      </c>
      <c r="E15" s="1036">
        <f>+I9P14</f>
        <v>0</v>
      </c>
      <c r="F15" s="1036">
        <f t="shared" si="0"/>
        <v>0</v>
      </c>
      <c r="G15" s="1037" t="e">
        <f t="shared" si="1"/>
        <v>#DIV/0!</v>
      </c>
    </row>
    <row r="16" spans="1:7" ht="15">
      <c r="A16" s="1038" t="s">
        <v>682</v>
      </c>
      <c r="B16" s="1039" t="s">
        <v>686</v>
      </c>
      <c r="C16" s="1036">
        <f>+I10C12</f>
        <v>0</v>
      </c>
      <c r="D16" s="1036">
        <f>+I10C13</f>
        <v>0</v>
      </c>
      <c r="E16" s="1036">
        <f>+I10P14</f>
        <v>0</v>
      </c>
      <c r="F16" s="1036">
        <f t="shared" si="0"/>
        <v>0</v>
      </c>
      <c r="G16" s="1037" t="e">
        <f t="shared" si="1"/>
        <v>#DIV/0!</v>
      </c>
    </row>
    <row r="17" spans="1:7" ht="15">
      <c r="A17" s="1034" t="s">
        <v>683</v>
      </c>
      <c r="B17" s="1040" t="s">
        <v>687</v>
      </c>
      <c r="C17" s="1036">
        <f>+I11C12</f>
        <v>0</v>
      </c>
      <c r="D17" s="1036">
        <f>+I11C13</f>
        <v>0</v>
      </c>
      <c r="E17" s="1036">
        <f>+I11P14</f>
        <v>0</v>
      </c>
      <c r="F17" s="1036">
        <f t="shared" si="0"/>
        <v>0</v>
      </c>
      <c r="G17" s="1037" t="e">
        <f t="shared" si="1"/>
        <v>#DIV/0!</v>
      </c>
    </row>
    <row r="18" spans="1:7" ht="2.25" customHeight="1">
      <c r="A18" s="1041"/>
      <c r="B18" s="1042"/>
      <c r="C18" s="1043"/>
      <c r="D18" s="1043"/>
      <c r="E18" s="1043"/>
      <c r="F18" s="1043"/>
      <c r="G18" s="1044"/>
    </row>
    <row r="19" spans="1:7" ht="15">
      <c r="A19" s="1168" t="s">
        <v>67</v>
      </c>
      <c r="B19" s="1169"/>
      <c r="C19" s="1045">
        <f>SUM(C7,C8,C9,C10,C11,C12,C13,C17)</f>
        <v>0</v>
      </c>
      <c r="D19" s="1045">
        <f>SUM(D7,D8,D9,D10,D11,D12,D13,D17)</f>
        <v>0</v>
      </c>
      <c r="E19" s="1045">
        <f>SUM(E7,E8,E9,E10,E11,E12,E13,E17)</f>
        <v>0</v>
      </c>
      <c r="F19" s="1045">
        <f>SUM(F7,F8,F9,F10,F11,F12,F13,F17)</f>
        <v>0</v>
      </c>
      <c r="G19" s="1046" t="e">
        <f>SUM(G7,G8,G9,G10,G11,G12,G13,G17)</f>
        <v>#DIV/0!</v>
      </c>
    </row>
    <row r="20" spans="1:7" ht="15">
      <c r="A20" s="62"/>
      <c r="B20" s="62"/>
      <c r="C20" s="62"/>
      <c r="D20" s="62"/>
      <c r="E20" s="62"/>
      <c r="F20" s="62"/>
      <c r="G20" s="62"/>
    </row>
    <row r="21" spans="2:7" ht="15">
      <c r="B21" s="473" t="s">
        <v>203</v>
      </c>
      <c r="C21" s="474">
        <f>+C19-ST1C12</f>
        <v>0</v>
      </c>
      <c r="D21" s="474">
        <f>+D19-ST1C13</f>
        <v>0</v>
      </c>
      <c r="E21" s="474">
        <f>+E19-ST1P14</f>
        <v>0</v>
      </c>
      <c r="F21" s="474"/>
      <c r="G21" s="474"/>
    </row>
    <row r="23" spans="1:6" ht="15">
      <c r="A23" s="459" t="s">
        <v>523</v>
      </c>
      <c r="B23" s="460"/>
      <c r="C23" s="460"/>
      <c r="D23" s="460"/>
      <c r="E23" s="460"/>
      <c r="F23" s="461"/>
    </row>
  </sheetData>
  <sheetProtection/>
  <mergeCells count="2">
    <mergeCell ref="A19:B19"/>
    <mergeCell ref="A3:G3"/>
  </mergeCells>
  <hyperlinks>
    <hyperlink ref="G1" location="'Inserimento dati'!A1" display="InsDati"/>
    <hyperlink ref="H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7109375" style="21" customWidth="1"/>
    <col min="2" max="4" width="17.8515625" style="21" customWidth="1"/>
    <col min="5" max="5" width="1.8515625" style="21" customWidth="1"/>
    <col min="6" max="7" width="14.00390625" style="21" customWidth="1"/>
    <col min="8" max="8" width="24.8515625" style="21" customWidth="1"/>
    <col min="9" max="9" width="24.140625" style="21" customWidth="1"/>
    <col min="10" max="10" width="9.140625" style="21" customWidth="1"/>
    <col min="11" max="11" width="16.140625" style="21" customWidth="1"/>
    <col min="12" max="16384" width="9.140625" style="21" customWidth="1"/>
  </cols>
  <sheetData>
    <row r="1" spans="1:12" ht="15.75">
      <c r="A1" s="100" t="s">
        <v>293</v>
      </c>
      <c r="F1" s="555" t="s">
        <v>624</v>
      </c>
      <c r="G1" s="459" t="s">
        <v>523</v>
      </c>
      <c r="H1" s="460"/>
      <c r="I1" s="460"/>
      <c r="J1" s="460"/>
      <c r="K1" s="460"/>
      <c r="L1" s="461"/>
    </row>
    <row r="2" spans="4:6" ht="15">
      <c r="D2" s="855" t="str">
        <f>"Tab. 31 - "&amp;Comune</f>
        <v>Tab. 31 - </v>
      </c>
      <c r="E2" s="855"/>
      <c r="F2" s="748" t="s">
        <v>777</v>
      </c>
    </row>
    <row r="3" spans="1:8" ht="28.5" customHeight="1">
      <c r="A3" s="845"/>
      <c r="B3" s="638" t="s">
        <v>974</v>
      </c>
      <c r="C3" s="314" t="s">
        <v>1080</v>
      </c>
      <c r="D3" s="314" t="s">
        <v>744</v>
      </c>
      <c r="E3" s="771"/>
      <c r="H3" s="744" t="s">
        <v>773</v>
      </c>
    </row>
    <row r="4" spans="1:9" ht="15">
      <c r="A4" s="281" t="s">
        <v>294</v>
      </c>
      <c r="B4" s="636">
        <f>+I1C12</f>
        <v>0</v>
      </c>
      <c r="C4" s="637">
        <f>+I1C13</f>
        <v>0</v>
      </c>
      <c r="D4" s="637">
        <f>+I1P14</f>
        <v>0</v>
      </c>
      <c r="E4" s="634"/>
      <c r="I4" s="855" t="str">
        <f>"Tab. 30 - "&amp;Comune</f>
        <v>Tab. 30 - </v>
      </c>
    </row>
    <row r="5" spans="1:9" ht="15">
      <c r="A5" s="281" t="s">
        <v>295</v>
      </c>
      <c r="B5" s="282">
        <f>+I3PC12</f>
        <v>0</v>
      </c>
      <c r="C5" s="282">
        <f>+I3PC13</f>
        <v>0</v>
      </c>
      <c r="D5" s="282">
        <f>+I3PP14</f>
        <v>0</v>
      </c>
      <c r="E5" s="634"/>
      <c r="H5" s="35" t="s">
        <v>637</v>
      </c>
      <c r="I5" s="35" t="s">
        <v>23</v>
      </c>
    </row>
    <row r="6" spans="1:9" ht="15">
      <c r="A6" s="281" t="s">
        <v>26</v>
      </c>
      <c r="B6" s="282">
        <f>+IRAPC12</f>
        <v>0</v>
      </c>
      <c r="C6" s="282">
        <f>+IRAPC13</f>
        <v>0</v>
      </c>
      <c r="D6" s="282">
        <f>+IRAPP14</f>
        <v>0</v>
      </c>
      <c r="E6" s="634"/>
      <c r="H6" s="599">
        <v>2011</v>
      </c>
      <c r="I6" s="747">
        <f>+SSL11</f>
        <v>0</v>
      </c>
    </row>
    <row r="7" spans="1:9" ht="15">
      <c r="A7" s="281" t="s">
        <v>689</v>
      </c>
      <c r="B7" s="282">
        <f>+ESCL12</f>
        <v>0</v>
      </c>
      <c r="C7" s="282">
        <f>+ESCL13</f>
        <v>0</v>
      </c>
      <c r="D7" s="282">
        <f>+ESCLP14</f>
        <v>0</v>
      </c>
      <c r="E7" s="634"/>
      <c r="H7" s="599">
        <v>2012</v>
      </c>
      <c r="I7" s="747">
        <f>+SSL12</f>
        <v>0</v>
      </c>
    </row>
    <row r="8" spans="1:9" ht="15">
      <c r="A8" s="632" t="s">
        <v>690</v>
      </c>
      <c r="B8" s="633">
        <f>SUM(B4:B7)</f>
        <v>0</v>
      </c>
      <c r="C8" s="633">
        <f>SUM(C4:C7)</f>
        <v>0</v>
      </c>
      <c r="D8" s="633">
        <f>SUM(D4:D7)</f>
        <v>0</v>
      </c>
      <c r="E8" s="1047"/>
      <c r="H8" s="599">
        <v>2013</v>
      </c>
      <c r="I8" s="747">
        <f>+SSL13</f>
        <v>0</v>
      </c>
    </row>
    <row r="9" spans="1:9" ht="15">
      <c r="A9" s="281" t="s">
        <v>691</v>
      </c>
      <c r="B9" s="282">
        <f>+ESCL12</f>
        <v>0</v>
      </c>
      <c r="C9" s="282">
        <f>+ESCL13</f>
        <v>0</v>
      </c>
      <c r="D9" s="282">
        <f>+ESCLP14</f>
        <v>0</v>
      </c>
      <c r="E9" s="634"/>
      <c r="H9" s="599">
        <v>2014</v>
      </c>
      <c r="I9" s="747">
        <f>+SSLP14</f>
        <v>0</v>
      </c>
    </row>
    <row r="10" spans="1:9" ht="15">
      <c r="A10" s="632" t="s">
        <v>692</v>
      </c>
      <c r="B10" s="633">
        <f>+B8-B9</f>
        <v>0</v>
      </c>
      <c r="C10" s="633">
        <f>+C8-C9</f>
        <v>0</v>
      </c>
      <c r="D10" s="633">
        <f>+D8-D9</f>
        <v>0</v>
      </c>
      <c r="E10" s="1047"/>
      <c r="H10" s="599">
        <v>2015</v>
      </c>
      <c r="I10" s="747">
        <f>+SSLP15</f>
        <v>0</v>
      </c>
    </row>
    <row r="11" spans="1:9" ht="15">
      <c r="A11" s="283" t="s">
        <v>3</v>
      </c>
      <c r="B11" s="284">
        <f>+TS12</f>
        <v>0</v>
      </c>
      <c r="C11" s="284">
        <f>+TS13</f>
        <v>0</v>
      </c>
      <c r="D11" s="284">
        <f>+TSP14</f>
        <v>0</v>
      </c>
      <c r="E11" s="1048"/>
      <c r="H11" s="599">
        <v>2016</v>
      </c>
      <c r="I11" s="747">
        <f>+SSLP16</f>
        <v>0</v>
      </c>
    </row>
    <row r="12" spans="1:5" ht="15">
      <c r="A12" s="283" t="s">
        <v>693</v>
      </c>
      <c r="B12" s="635" t="e">
        <f>+ROUND(SSL12/TS12,4)</f>
        <v>#DIV/0!</v>
      </c>
      <c r="C12" s="635" t="e">
        <f>+ROUND(SSL13/TS13,4)</f>
        <v>#DIV/0!</v>
      </c>
      <c r="D12" s="635" t="e">
        <f>+ROUND(SSL13/TS13,4)</f>
        <v>#DIV/0!</v>
      </c>
      <c r="E12" s="1049"/>
    </row>
    <row r="14" spans="1:5" ht="15">
      <c r="A14" s="470" t="str">
        <f>"CHK su "&amp;A8</f>
        <v>CHK su Totale spese di personale</v>
      </c>
      <c r="B14" s="471">
        <f>+B8-TP12</f>
        <v>0</v>
      </c>
      <c r="C14" s="471">
        <f>+C8-TP13</f>
        <v>0</v>
      </c>
      <c r="D14" s="471">
        <f>+D8-TPP14</f>
        <v>0</v>
      </c>
      <c r="E14" s="471"/>
    </row>
    <row r="16" spans="1:5" ht="15">
      <c r="A16" s="470" t="str">
        <f>"CHK su "&amp;A10</f>
        <v>CHK su Spese soggette al limite (c. 557 o 562)</v>
      </c>
      <c r="B16" s="471">
        <f>+B10-SSL12</f>
        <v>0</v>
      </c>
      <c r="C16" s="471">
        <f>+C10-SSL13</f>
        <v>0</v>
      </c>
      <c r="D16" s="471">
        <f>+D10-SSLP14</f>
        <v>0</v>
      </c>
      <c r="E16" s="471"/>
    </row>
    <row r="18" ht="15" hidden="1" outlineLevel="1"/>
    <row r="19" ht="15" hidden="1" outlineLevel="1"/>
    <row r="20" ht="15" hidden="1" outlineLevel="1"/>
    <row r="21" ht="15" hidden="1" outlineLevel="1">
      <c r="A21" s="273" t="s">
        <v>298</v>
      </c>
    </row>
    <row r="22" ht="15" hidden="1" outlineLevel="1"/>
    <row r="23" spans="1:5" ht="15" hidden="1" outlineLevel="1">
      <c r="A23" s="285"/>
      <c r="B23" s="286">
        <v>2011</v>
      </c>
      <c r="C23" s="286">
        <f>+B23+1</f>
        <v>2012</v>
      </c>
      <c r="D23" s="286">
        <f>+C23+1</f>
        <v>2013</v>
      </c>
      <c r="E23" s="1050"/>
    </row>
    <row r="24" spans="1:5" ht="15" hidden="1" outlineLevel="1">
      <c r="A24" s="287" t="s">
        <v>299</v>
      </c>
      <c r="B24" s="499">
        <f>+'Inserimento dati'!D70</f>
        <v>0</v>
      </c>
      <c r="C24" s="500">
        <f>+'Inserimento dati'!E70</f>
        <v>0</v>
      </c>
      <c r="D24" s="500">
        <f>+'Inserimento dati'!F70</f>
        <v>0</v>
      </c>
      <c r="E24" s="1051"/>
    </row>
    <row r="25" spans="1:5" ht="15" hidden="1" outlineLevel="1">
      <c r="A25" s="287" t="s">
        <v>300</v>
      </c>
      <c r="B25" s="290" t="e">
        <f>+int1_cons_2010+'Inserimento dati'!D43</f>
        <v>#NAME?</v>
      </c>
      <c r="C25" s="290" t="e">
        <f>+int1_cons_2011+'Inserimento dati'!E43</f>
        <v>#NAME?</v>
      </c>
      <c r="D25" s="290" t="e">
        <f>+INT1C2012+'Inserimento dati'!F43</f>
        <v>#NAME?</v>
      </c>
      <c r="E25" s="1052"/>
    </row>
    <row r="26" spans="1:5" ht="15" hidden="1" outlineLevel="1">
      <c r="A26" s="287" t="s">
        <v>301</v>
      </c>
      <c r="B26" s="290" t="e">
        <f>+Spese_titolo_primo_cons_2010</f>
        <v>#NAME?</v>
      </c>
      <c r="C26" s="290" t="e">
        <f>+Spese_titolo_primo_cons_2011</f>
        <v>#NAME?</v>
      </c>
      <c r="D26" s="290" t="e">
        <f>+ST1C2012</f>
        <v>#NAME?</v>
      </c>
      <c r="E26" s="1052"/>
    </row>
    <row r="27" spans="1:5" ht="15" hidden="1" outlineLevel="1">
      <c r="A27" s="291" t="s">
        <v>302</v>
      </c>
      <c r="B27" s="501" t="e">
        <f>B25/B24</f>
        <v>#NAME?</v>
      </c>
      <c r="C27" s="501" t="e">
        <f>C25/C24</f>
        <v>#NAME?</v>
      </c>
      <c r="D27" s="501" t="e">
        <f>D25/D24</f>
        <v>#NAME?</v>
      </c>
      <c r="E27" s="1053"/>
    </row>
    <row r="28" spans="1:5" ht="15" hidden="1" outlineLevel="1">
      <c r="A28" s="258" t="s">
        <v>303</v>
      </c>
      <c r="B28" s="502" t="e">
        <f>+B25/B26</f>
        <v>#NAME?</v>
      </c>
      <c r="C28" s="502" t="e">
        <f>+C25/C26</f>
        <v>#NAME?</v>
      </c>
      <c r="D28" s="502" t="e">
        <f>+D25/D26</f>
        <v>#NAME?</v>
      </c>
      <c r="E28" s="1054"/>
    </row>
    <row r="29" ht="14.25" customHeight="1" hidden="1" outlineLevel="1"/>
    <row r="30" ht="15" hidden="1" outlineLevel="1">
      <c r="A30" s="294" t="s">
        <v>304</v>
      </c>
    </row>
    <row r="31" spans="4:5" ht="15" hidden="1" outlineLevel="1">
      <c r="D31" s="855" t="str">
        <f>"Tab. 35 - Comune di "&amp;Comune</f>
        <v>Tab. 35 - Comune di </v>
      </c>
      <c r="E31" s="855"/>
    </row>
    <row r="32" spans="1:5" ht="25.5" hidden="1" outlineLevel="1">
      <c r="A32" s="777"/>
      <c r="B32" s="222" t="s">
        <v>225</v>
      </c>
      <c r="C32" s="222" t="s">
        <v>569</v>
      </c>
      <c r="D32" s="222" t="s">
        <v>968</v>
      </c>
      <c r="E32" s="1055"/>
    </row>
    <row r="33" spans="1:5" ht="26.25" hidden="1" outlineLevel="1">
      <c r="A33" s="478" t="s">
        <v>1015</v>
      </c>
      <c r="B33" s="319">
        <f>+STAB12</f>
        <v>0</v>
      </c>
      <c r="C33" s="319">
        <f>+STAB12</f>
        <v>0</v>
      </c>
      <c r="D33" s="319">
        <f>+STAB13</f>
        <v>0</v>
      </c>
      <c r="E33" s="1056"/>
    </row>
    <row r="34" spans="1:5" ht="15" hidden="1" outlineLevel="1">
      <c r="A34" s="478" t="s">
        <v>305</v>
      </c>
      <c r="B34" s="319">
        <f>+VAR12</f>
        <v>0</v>
      </c>
      <c r="C34" s="319">
        <f>+VAR12</f>
        <v>0</v>
      </c>
      <c r="D34" s="319">
        <f>+VAR13</f>
        <v>0</v>
      </c>
      <c r="E34" s="1056"/>
    </row>
    <row r="35" spans="1:5" ht="15" hidden="1" outlineLevel="1">
      <c r="A35" s="478" t="s">
        <v>1016</v>
      </c>
      <c r="B35" s="319"/>
      <c r="C35" s="319"/>
      <c r="D35" s="319"/>
      <c r="E35" s="1056"/>
    </row>
    <row r="36" spans="1:5" ht="26.25" hidden="1" outlineLevel="1">
      <c r="A36" s="478" t="s">
        <v>1017</v>
      </c>
      <c r="B36" s="319"/>
      <c r="C36" s="319"/>
      <c r="D36" s="319"/>
      <c r="E36" s="1056"/>
    </row>
    <row r="37" spans="1:5" ht="15" hidden="1" outlineLevel="1">
      <c r="A37" s="949" t="s">
        <v>1019</v>
      </c>
      <c r="B37" s="498">
        <f>SUM(B33:B36)</f>
        <v>0</v>
      </c>
      <c r="C37" s="498">
        <f>SUM(C33:C36)</f>
        <v>0</v>
      </c>
      <c r="D37" s="498">
        <f>SUM(D33:D36)</f>
        <v>0</v>
      </c>
      <c r="E37" s="1057"/>
    </row>
    <row r="38" spans="1:5" ht="64.5" hidden="1" outlineLevel="1">
      <c r="A38" s="478" t="s">
        <v>1018</v>
      </c>
      <c r="B38" s="319"/>
      <c r="C38" s="319"/>
      <c r="D38" s="319"/>
      <c r="E38" s="1056"/>
    </row>
    <row r="39" spans="1:5" ht="15" hidden="1" outlineLevel="1">
      <c r="A39" s="478" t="s">
        <v>1020</v>
      </c>
      <c r="B39" s="867" t="e">
        <f>+ROUND(INTEG12/I1C12,6)</f>
        <v>#DIV/0!</v>
      </c>
      <c r="C39" s="867" t="e">
        <f>+ROUND(INTEG12/I1C12,6)</f>
        <v>#DIV/0!</v>
      </c>
      <c r="D39" s="867" t="e">
        <f>+ROUND(INTEG13/I1C13,6)</f>
        <v>#DIV/0!</v>
      </c>
      <c r="E39" s="1058"/>
    </row>
    <row r="40" ht="15" hidden="1" outlineLevel="1"/>
    <row r="41" ht="15" hidden="1" outlineLevel="1"/>
    <row r="42" ht="15" hidden="1" outlineLevel="1">
      <c r="A42" s="273" t="s">
        <v>298</v>
      </c>
    </row>
    <row r="43" ht="15" hidden="1" outlineLevel="1">
      <c r="A43" s="21" t="s">
        <v>306</v>
      </c>
    </row>
    <row r="44" spans="1:5" ht="15" hidden="1" outlineLevel="1">
      <c r="A44" s="285"/>
      <c r="B44" s="286">
        <v>2011</v>
      </c>
      <c r="C44" s="286">
        <f>+B44+1</f>
        <v>2012</v>
      </c>
      <c r="D44" s="286">
        <f>+C44+1</f>
        <v>2013</v>
      </c>
      <c r="E44" s="1050"/>
    </row>
    <row r="45" spans="1:5" ht="15" hidden="1" outlineLevel="1">
      <c r="A45" s="287" t="s">
        <v>299</v>
      </c>
      <c r="B45" s="288">
        <f>+'Inserimento dati'!D70</f>
        <v>0</v>
      </c>
      <c r="C45" s="289">
        <f>+'Inserimento dati'!E70</f>
        <v>0</v>
      </c>
      <c r="D45" s="289">
        <f>+'Inserimento dati'!F70</f>
        <v>0</v>
      </c>
      <c r="E45" s="1059"/>
    </row>
    <row r="46" spans="1:5" ht="15" hidden="1" outlineLevel="1">
      <c r="A46" s="287" t="s">
        <v>855</v>
      </c>
      <c r="B46" s="290" t="e">
        <f>+int1_cons_2010+'Inserimento dati'!D61</f>
        <v>#NAME?</v>
      </c>
      <c r="C46" s="290" t="e">
        <f>+int1_cons_2011+'Inserimento dati'!E61</f>
        <v>#NAME?</v>
      </c>
      <c r="D46" s="290" t="e">
        <f>+INT1C2012+'Inserimento dati'!F61</f>
        <v>#NAME?</v>
      </c>
      <c r="E46" s="1052"/>
    </row>
    <row r="47" spans="1:5" ht="15" hidden="1" outlineLevel="1">
      <c r="A47" s="287" t="s">
        <v>301</v>
      </c>
      <c r="B47" s="290" t="e">
        <f>+Spese_titolo_primo_cons_2010</f>
        <v>#NAME?</v>
      </c>
      <c r="C47" s="290" t="e">
        <f>+Spese_titolo_primo_cons_2011</f>
        <v>#NAME?</v>
      </c>
      <c r="D47" s="290" t="e">
        <f>+ST1C2012</f>
        <v>#NAME?</v>
      </c>
      <c r="E47" s="1052"/>
    </row>
    <row r="48" spans="1:5" ht="15" hidden="1" outlineLevel="1">
      <c r="A48" s="291" t="s">
        <v>302</v>
      </c>
      <c r="B48" s="292" t="e">
        <f>B46/B45</f>
        <v>#NAME?</v>
      </c>
      <c r="C48" s="292" t="e">
        <f>C46/C45</f>
        <v>#NAME?</v>
      </c>
      <c r="D48" s="292" t="e">
        <f>D46/D45</f>
        <v>#NAME?</v>
      </c>
      <c r="E48" s="1060"/>
    </row>
    <row r="49" spans="1:5" ht="15" hidden="1" outlineLevel="1">
      <c r="A49" s="258" t="s">
        <v>303</v>
      </c>
      <c r="B49" s="293" t="e">
        <f>+B46/B47</f>
        <v>#NAME?</v>
      </c>
      <c r="C49" s="293" t="e">
        <f>+C46/C47</f>
        <v>#NAME?</v>
      </c>
      <c r="D49" s="293" t="e">
        <f>+D46/D47</f>
        <v>#NAME?</v>
      </c>
      <c r="E49" s="1061"/>
    </row>
    <row r="50" ht="15" hidden="1" outlineLevel="1"/>
    <row r="51" ht="15" collapsed="1"/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27.00390625" style="579" customWidth="1"/>
    <col min="2" max="6" width="10.7109375" style="579" customWidth="1"/>
    <col min="7" max="16384" width="9.140625" style="579" customWidth="1"/>
  </cols>
  <sheetData>
    <row r="1" spans="1:8" ht="12.75">
      <c r="A1" s="639" t="s">
        <v>694</v>
      </c>
      <c r="H1" s="555" t="s">
        <v>624</v>
      </c>
    </row>
    <row r="2" spans="1:8" ht="12.75">
      <c r="A2" s="639"/>
      <c r="F2" s="855" t="str">
        <f>"Tab. 32 - "&amp;Comune</f>
        <v>Tab. 32 - </v>
      </c>
      <c r="H2" s="748" t="s">
        <v>777</v>
      </c>
    </row>
    <row r="3" spans="1:6" ht="24">
      <c r="A3" s="640" t="s">
        <v>695</v>
      </c>
      <c r="B3" s="641" t="s">
        <v>696</v>
      </c>
      <c r="C3" s="641" t="s">
        <v>697</v>
      </c>
      <c r="D3" s="641" t="s">
        <v>1116</v>
      </c>
      <c r="E3" s="641" t="s">
        <v>744</v>
      </c>
      <c r="F3" s="641" t="s">
        <v>1117</v>
      </c>
    </row>
    <row r="4" spans="1:6" ht="16.5" customHeight="1">
      <c r="A4" s="1215" t="s">
        <v>698</v>
      </c>
      <c r="B4" s="1216"/>
      <c r="C4" s="1217">
        <v>0.84</v>
      </c>
      <c r="D4" s="1216">
        <f aca="true" t="shared" si="0" ref="D4:D9">+ROUND(B4*(1-C4),2)</f>
        <v>0</v>
      </c>
      <c r="E4" s="1216"/>
      <c r="F4" s="1216">
        <f aca="true" t="shared" si="1" ref="F4:F9">IF((D4-E4)&lt;0,(D4-E4),0)</f>
        <v>0</v>
      </c>
    </row>
    <row r="5" spans="1:6" ht="22.5">
      <c r="A5" s="1215" t="s">
        <v>702</v>
      </c>
      <c r="B5" s="1216"/>
      <c r="C5" s="1217">
        <v>0.8</v>
      </c>
      <c r="D5" s="1216">
        <f t="shared" si="0"/>
        <v>0</v>
      </c>
      <c r="E5" s="1216"/>
      <c r="F5" s="1216">
        <f t="shared" si="1"/>
        <v>0</v>
      </c>
    </row>
    <row r="6" spans="1:6" ht="12.75">
      <c r="A6" s="1215" t="s">
        <v>699</v>
      </c>
      <c r="B6" s="1216"/>
      <c r="C6" s="1217">
        <v>1</v>
      </c>
      <c r="D6" s="1216">
        <f t="shared" si="0"/>
        <v>0</v>
      </c>
      <c r="E6" s="1216"/>
      <c r="F6" s="1216">
        <f t="shared" si="1"/>
        <v>0</v>
      </c>
    </row>
    <row r="7" spans="1:6" ht="12.75">
      <c r="A7" s="1215" t="s">
        <v>700</v>
      </c>
      <c r="B7" s="1216"/>
      <c r="C7" s="1217">
        <v>0.5</v>
      </c>
      <c r="D7" s="1216">
        <f t="shared" si="0"/>
        <v>0</v>
      </c>
      <c r="E7" s="1216"/>
      <c r="F7" s="1216">
        <f t="shared" si="1"/>
        <v>0</v>
      </c>
    </row>
    <row r="8" spans="1:6" ht="12.75">
      <c r="A8" s="1215" t="s">
        <v>701</v>
      </c>
      <c r="B8" s="1216"/>
      <c r="C8" s="1217">
        <v>0.5</v>
      </c>
      <c r="D8" s="1216">
        <f>+ROUND(B8*(1-C8),2)</f>
        <v>0</v>
      </c>
      <c r="E8" s="1216"/>
      <c r="F8" s="1216">
        <f t="shared" si="1"/>
        <v>0</v>
      </c>
    </row>
    <row r="9" spans="1:6" ht="22.5">
      <c r="A9" s="1215" t="s">
        <v>703</v>
      </c>
      <c r="B9" s="1216"/>
      <c r="C9" s="1217">
        <v>0.2</v>
      </c>
      <c r="D9" s="1216">
        <f t="shared" si="0"/>
        <v>0</v>
      </c>
      <c r="E9" s="1216"/>
      <c r="F9" s="1216">
        <f t="shared" si="1"/>
        <v>0</v>
      </c>
    </row>
  </sheetData>
  <sheetProtection/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115" zoomScaleNormal="115" zoomScalePageLayoutView="0" workbookViewId="0" topLeftCell="A23">
      <selection activeCell="C43" sqref="A25:C43"/>
    </sheetView>
  </sheetViews>
  <sheetFormatPr defaultColWidth="9.140625" defaultRowHeight="12.75"/>
  <cols>
    <col min="1" max="1" width="3.7109375" style="21" customWidth="1"/>
    <col min="2" max="2" width="65.140625" style="21" customWidth="1"/>
    <col min="3" max="3" width="18.28125" style="21" customWidth="1"/>
    <col min="4" max="4" width="17.8515625" style="21" customWidth="1"/>
    <col min="5" max="5" width="15.7109375" style="21" customWidth="1"/>
    <col min="6" max="6" width="14.00390625" style="21" customWidth="1"/>
    <col min="7" max="7" width="18.7109375" style="21" customWidth="1"/>
    <col min="8" max="8" width="17.8515625" style="21" customWidth="1"/>
    <col min="9" max="9" width="9.140625" style="21" customWidth="1"/>
    <col min="10" max="10" width="16.140625" style="21" customWidth="1"/>
    <col min="11" max="16384" width="9.140625" style="21" customWidth="1"/>
  </cols>
  <sheetData>
    <row r="1" spans="1:6" ht="15">
      <c r="A1" s="273" t="s">
        <v>296</v>
      </c>
      <c r="E1" s="555" t="s">
        <v>624</v>
      </c>
      <c r="F1" s="748" t="s">
        <v>777</v>
      </c>
    </row>
    <row r="2" ht="6.75" customHeight="1"/>
    <row r="3" spans="1:3" ht="15">
      <c r="A3" s="485"/>
      <c r="B3" s="886" t="str">
        <f>"Tab. 33 - Comune di "&amp;Comune</f>
        <v>Tab. 33 - Comune di </v>
      </c>
      <c r="C3" s="486" t="s">
        <v>27</v>
      </c>
    </row>
    <row r="4" spans="1:3" ht="24.75">
      <c r="A4" s="948">
        <v>1</v>
      </c>
      <c r="B4" s="773" t="s">
        <v>1001</v>
      </c>
      <c r="C4" s="295"/>
    </row>
    <row r="5" spans="1:3" ht="36.75">
      <c r="A5" s="948">
        <f>+A4+1</f>
        <v>2</v>
      </c>
      <c r="B5" s="773" t="s">
        <v>1002</v>
      </c>
      <c r="C5" s="295"/>
    </row>
    <row r="6" spans="1:3" ht="24.75">
      <c r="A6" s="948">
        <f>+A5+1</f>
        <v>3</v>
      </c>
      <c r="B6" s="773" t="s">
        <v>1003</v>
      </c>
      <c r="C6" s="295"/>
    </row>
    <row r="7" spans="1:3" ht="24.75">
      <c r="A7" s="948">
        <f>+A6+1</f>
        <v>4</v>
      </c>
      <c r="B7" s="773" t="s">
        <v>1004</v>
      </c>
      <c r="C7" s="295"/>
    </row>
    <row r="8" spans="1:3" ht="36.75">
      <c r="A8" s="948">
        <f aca="true" t="shared" si="0" ref="A8:A21">+A7+1</f>
        <v>5</v>
      </c>
      <c r="B8" s="774" t="s">
        <v>535</v>
      </c>
      <c r="C8" s="295"/>
    </row>
    <row r="9" spans="1:3" ht="15">
      <c r="A9" s="948">
        <f t="shared" si="0"/>
        <v>6</v>
      </c>
      <c r="B9" s="774" t="s">
        <v>565</v>
      </c>
      <c r="C9" s="295"/>
    </row>
    <row r="10" spans="1:3" ht="15">
      <c r="A10" s="948">
        <f t="shared" si="0"/>
        <v>7</v>
      </c>
      <c r="B10" s="774" t="s">
        <v>1005</v>
      </c>
      <c r="C10" s="295"/>
    </row>
    <row r="11" spans="1:3" ht="15">
      <c r="A11" s="948">
        <f t="shared" si="0"/>
        <v>8</v>
      </c>
      <c r="B11" s="774" t="s">
        <v>1006</v>
      </c>
      <c r="C11" s="295"/>
    </row>
    <row r="12" spans="1:3" ht="15">
      <c r="A12" s="948">
        <f t="shared" si="0"/>
        <v>9</v>
      </c>
      <c r="B12" s="773" t="s">
        <v>536</v>
      </c>
      <c r="C12" s="295"/>
    </row>
    <row r="13" spans="1:3" ht="24">
      <c r="A13" s="948">
        <f t="shared" si="0"/>
        <v>10</v>
      </c>
      <c r="B13" s="947" t="s">
        <v>537</v>
      </c>
      <c r="C13" s="295"/>
    </row>
    <row r="14" spans="1:3" ht="15">
      <c r="A14" s="948">
        <f t="shared" si="0"/>
        <v>11</v>
      </c>
      <c r="B14" s="773" t="s">
        <v>538</v>
      </c>
      <c r="C14" s="295"/>
    </row>
    <row r="15" spans="1:3" ht="15">
      <c r="A15" s="948">
        <f t="shared" si="0"/>
        <v>12</v>
      </c>
      <c r="B15" s="773" t="s">
        <v>539</v>
      </c>
      <c r="C15" s="295"/>
    </row>
    <row r="16" spans="1:3" ht="24.75">
      <c r="A16" s="948">
        <f t="shared" si="0"/>
        <v>13</v>
      </c>
      <c r="B16" s="773" t="s">
        <v>540</v>
      </c>
      <c r="C16" s="295"/>
    </row>
    <row r="17" spans="1:3" ht="15">
      <c r="A17" s="948">
        <f t="shared" si="0"/>
        <v>14</v>
      </c>
      <c r="B17" s="773" t="s">
        <v>125</v>
      </c>
      <c r="C17" s="295"/>
    </row>
    <row r="18" spans="1:3" ht="15">
      <c r="A18" s="948">
        <f t="shared" si="0"/>
        <v>15</v>
      </c>
      <c r="B18" s="773" t="s">
        <v>541</v>
      </c>
      <c r="C18" s="295"/>
    </row>
    <row r="19" spans="1:3" ht="24.75">
      <c r="A19" s="948">
        <f t="shared" si="0"/>
        <v>16</v>
      </c>
      <c r="B19" s="773" t="s">
        <v>542</v>
      </c>
      <c r="C19" s="295"/>
    </row>
    <row r="20" spans="1:3" ht="15">
      <c r="A20" s="948">
        <f t="shared" si="0"/>
        <v>17</v>
      </c>
      <c r="B20" s="773" t="s">
        <v>546</v>
      </c>
      <c r="C20" s="295"/>
    </row>
    <row r="21" spans="1:3" ht="15">
      <c r="A21" s="948">
        <f t="shared" si="0"/>
        <v>18</v>
      </c>
      <c r="B21" s="773" t="s">
        <v>543</v>
      </c>
      <c r="C21" s="295"/>
    </row>
    <row r="22" spans="1:3" ht="15">
      <c r="A22" s="485"/>
      <c r="B22" s="775" t="s">
        <v>46</v>
      </c>
      <c r="C22" s="296">
        <f>SUM(C4:C21)</f>
        <v>0</v>
      </c>
    </row>
    <row r="23" spans="1:3" ht="15">
      <c r="A23" s="212"/>
      <c r="B23" s="212"/>
      <c r="C23" s="212"/>
    </row>
    <row r="24" spans="1:3" ht="15">
      <c r="A24" s="273" t="s">
        <v>297</v>
      </c>
      <c r="B24" s="212"/>
      <c r="C24" s="212"/>
    </row>
    <row r="25" spans="1:3" ht="6" customHeight="1">
      <c r="A25" s="212"/>
      <c r="B25" s="212"/>
      <c r="C25" s="212"/>
    </row>
    <row r="26" spans="1:3" ht="15">
      <c r="A26" s="485"/>
      <c r="B26" s="886" t="str">
        <f>"Tab. 34 - Comune di "&amp;Comune</f>
        <v>Tab. 34 - Comune di </v>
      </c>
      <c r="C26" s="486" t="s">
        <v>27</v>
      </c>
    </row>
    <row r="27" spans="1:3" ht="15">
      <c r="A27" s="485">
        <v>1</v>
      </c>
      <c r="B27" s="642" t="s">
        <v>544</v>
      </c>
      <c r="C27" s="776"/>
    </row>
    <row r="28" spans="1:3" ht="24.75">
      <c r="A28" s="485">
        <f>+A27+1</f>
        <v>2</v>
      </c>
      <c r="B28" s="642" t="s">
        <v>545</v>
      </c>
      <c r="C28" s="776"/>
    </row>
    <row r="29" spans="1:3" ht="15">
      <c r="A29" s="485">
        <f aca="true" t="shared" si="1" ref="A29:A42">+A28+1</f>
        <v>3</v>
      </c>
      <c r="B29" s="642" t="s">
        <v>546</v>
      </c>
      <c r="C29" s="776"/>
    </row>
    <row r="30" spans="1:3" ht="24.75">
      <c r="A30" s="485">
        <f t="shared" si="1"/>
        <v>4</v>
      </c>
      <c r="B30" s="642" t="s">
        <v>1007</v>
      </c>
      <c r="C30" s="776"/>
    </row>
    <row r="31" spans="1:3" ht="15">
      <c r="A31" s="485">
        <f t="shared" si="1"/>
        <v>5</v>
      </c>
      <c r="B31" s="642" t="s">
        <v>1008</v>
      </c>
      <c r="C31" s="776"/>
    </row>
    <row r="32" spans="1:3" ht="15">
      <c r="A32" s="485">
        <f t="shared" si="1"/>
        <v>6</v>
      </c>
      <c r="B32" s="642" t="s">
        <v>547</v>
      </c>
      <c r="C32" s="776"/>
    </row>
    <row r="33" spans="1:3" ht="24.75">
      <c r="A33" s="485">
        <f t="shared" si="1"/>
        <v>7</v>
      </c>
      <c r="B33" s="642" t="s">
        <v>548</v>
      </c>
      <c r="C33" s="776"/>
    </row>
    <row r="34" spans="1:3" ht="36.75">
      <c r="A34" s="485">
        <f t="shared" si="1"/>
        <v>8</v>
      </c>
      <c r="B34" s="642" t="s">
        <v>1009</v>
      </c>
      <c r="C34" s="776"/>
    </row>
    <row r="35" spans="1:3" ht="15">
      <c r="A35" s="485">
        <f t="shared" si="1"/>
        <v>9</v>
      </c>
      <c r="B35" s="642" t="s">
        <v>549</v>
      </c>
      <c r="C35" s="776"/>
    </row>
    <row r="36" spans="1:3" ht="15">
      <c r="A36" s="485">
        <f t="shared" si="1"/>
        <v>10</v>
      </c>
      <c r="B36" s="642" t="s">
        <v>550</v>
      </c>
      <c r="C36" s="776"/>
    </row>
    <row r="37" spans="1:3" ht="15">
      <c r="A37" s="485">
        <f t="shared" si="1"/>
        <v>11</v>
      </c>
      <c r="B37" s="642" t="s">
        <v>551</v>
      </c>
      <c r="C37" s="776"/>
    </row>
    <row r="38" spans="1:3" ht="24.75">
      <c r="A38" s="485">
        <f t="shared" si="1"/>
        <v>12</v>
      </c>
      <c r="B38" s="642" t="s">
        <v>1010</v>
      </c>
      <c r="C38" s="776"/>
    </row>
    <row r="39" spans="1:3" ht="24.75">
      <c r="A39" s="485">
        <f t="shared" si="1"/>
        <v>13</v>
      </c>
      <c r="B39" s="642" t="s">
        <v>1011</v>
      </c>
      <c r="C39" s="776"/>
    </row>
    <row r="40" spans="1:3" ht="36.75">
      <c r="A40" s="485">
        <f t="shared" si="1"/>
        <v>14</v>
      </c>
      <c r="B40" s="642" t="s">
        <v>1012</v>
      </c>
      <c r="C40" s="776"/>
    </row>
    <row r="41" spans="1:3" ht="24.75">
      <c r="A41" s="485">
        <f t="shared" si="1"/>
        <v>15</v>
      </c>
      <c r="B41" s="772" t="s">
        <v>1013</v>
      </c>
      <c r="C41" s="776"/>
    </row>
    <row r="42" spans="1:3" ht="24.75">
      <c r="A42" s="485">
        <f t="shared" si="1"/>
        <v>16</v>
      </c>
      <c r="B42" s="642" t="s">
        <v>1014</v>
      </c>
      <c r="C42" s="776"/>
    </row>
    <row r="43" spans="1:3" ht="15">
      <c r="A43" s="485"/>
      <c r="B43" s="775" t="s">
        <v>46</v>
      </c>
      <c r="C43" s="284">
        <f>SUM(C27:C42)</f>
        <v>0</v>
      </c>
    </row>
    <row r="44" ht="15">
      <c r="C44" s="184"/>
    </row>
  </sheetData>
  <sheetProtection/>
  <hyperlinks>
    <hyperlink ref="E1" location="'Inserimento dati'!A1" display="InsDati"/>
    <hyperlink ref="F1" location="'Vai A'!A1" display="Vai a …"/>
    <hyperlink ref="B8" r:id="rId1" display="Spese sostenute dall’Ente per il personale in convenzione (ai sensi degli articoli 13 e 14 del CCNL 22 gennaio 2004) per la quota parte di costo effettivamente sostenuto"/>
    <hyperlink ref="B9" r:id="rId2" display="Spese sostenute per il personale previsto dall’art. 90 del TUEL"/>
    <hyperlink ref="B11" r:id="rId3" display="Compensi per gli incarichi conferiti ai sensi dell’art. 110, commi 1 e 2  TUEL"/>
    <hyperlink ref="B10" r:id="rId4" display="Compensi per gli incarichi conferiti ai sensi dell’art. 110, commi 1 e 2  TUE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D14" sqref="D14"/>
    </sheetView>
  </sheetViews>
  <sheetFormatPr defaultColWidth="9.140625" defaultRowHeight="12.75" outlineLevelRow="1" outlineLevelCol="1"/>
  <cols>
    <col min="1" max="1" width="34.8515625" style="579" customWidth="1"/>
    <col min="2" max="2" width="45.140625" style="579" customWidth="1"/>
    <col min="3" max="3" width="3.7109375" style="579" customWidth="1"/>
    <col min="4" max="4" width="9.140625" style="579" customWidth="1"/>
    <col min="5" max="5" width="2.421875" style="579" customWidth="1"/>
    <col min="6" max="6" width="45.28125" style="579" hidden="1" customWidth="1" outlineLevel="1"/>
    <col min="7" max="7" width="26.8515625" style="579" hidden="1" customWidth="1" outlineLevel="1"/>
    <col min="8" max="8" width="0" style="579" hidden="1" customWidth="1" outlineLevel="1"/>
    <col min="9" max="9" width="49.140625" style="579" hidden="1" customWidth="1" outlineLevel="1" collapsed="1"/>
    <col min="10" max="10" width="26.28125" style="579" hidden="1" customWidth="1" outlineLevel="1"/>
    <col min="11" max="11" width="41.00390625" style="579" customWidth="1" collapsed="1"/>
    <col min="12" max="16384" width="9.140625" style="579" customWidth="1"/>
  </cols>
  <sheetData>
    <row r="1" spans="4:10" ht="12.75">
      <c r="D1" s="555" t="s">
        <v>624</v>
      </c>
      <c r="F1" s="7" t="s">
        <v>814</v>
      </c>
      <c r="J1" s="792" t="s">
        <v>817</v>
      </c>
    </row>
    <row r="2" spans="2:10" ht="12.75">
      <c r="B2" s="855"/>
      <c r="D2" s="748" t="s">
        <v>777</v>
      </c>
      <c r="G2" s="855"/>
      <c r="J2" s="792" t="s">
        <v>818</v>
      </c>
    </row>
    <row r="3" spans="1:10" ht="12.75" hidden="1" outlineLevel="1">
      <c r="A3" s="787" t="s">
        <v>811</v>
      </c>
      <c r="B3" s="788"/>
      <c r="F3" s="787" t="s">
        <v>812</v>
      </c>
      <c r="G3" s="788"/>
      <c r="J3" s="792" t="s">
        <v>819</v>
      </c>
    </row>
    <row r="4" spans="1:10" ht="12.75" hidden="1" outlineLevel="1">
      <c r="A4" s="1062"/>
      <c r="B4" s="1063"/>
      <c r="F4" s="789"/>
      <c r="G4" s="786"/>
      <c r="J4" s="792" t="s">
        <v>820</v>
      </c>
    </row>
    <row r="5" spans="1:10" ht="25.5" collapsed="1">
      <c r="A5" s="639" t="s">
        <v>704</v>
      </c>
      <c r="B5" s="1065"/>
      <c r="F5" s="793" t="s">
        <v>828</v>
      </c>
      <c r="G5" s="794"/>
      <c r="J5" s="792" t="s">
        <v>821</v>
      </c>
    </row>
    <row r="6" spans="1:7" ht="12.75">
      <c r="A6" s="1065"/>
      <c r="B6" s="1065"/>
      <c r="F6" s="794" t="s">
        <v>816</v>
      </c>
      <c r="G6" s="794"/>
    </row>
    <row r="7" spans="1:10" ht="12.75">
      <c r="A7" s="1064"/>
      <c r="B7" s="1066" t="str">
        <f>"Tab. 33 - "&amp;Comune</f>
        <v>Tab. 33 - </v>
      </c>
      <c r="F7" s="11" t="s">
        <v>822</v>
      </c>
      <c r="G7" s="794"/>
      <c r="J7" s="792" t="s">
        <v>73</v>
      </c>
    </row>
    <row r="8" spans="1:10" ht="12.75">
      <c r="A8" s="39" t="s">
        <v>803</v>
      </c>
      <c r="B8" s="790"/>
      <c r="F8" s="794" t="s">
        <v>823</v>
      </c>
      <c r="G8" s="581"/>
      <c r="J8" s="792" t="s">
        <v>74</v>
      </c>
    </row>
    <row r="9" spans="1:7" ht="12.75">
      <c r="A9" s="39" t="s">
        <v>706</v>
      </c>
      <c r="B9" s="790"/>
      <c r="F9" s="794" t="s">
        <v>824</v>
      </c>
      <c r="G9" s="794"/>
    </row>
    <row r="10" spans="1:10" ht="12.75">
      <c r="A10" s="39" t="s">
        <v>705</v>
      </c>
      <c r="B10" s="790"/>
      <c r="F10" s="794" t="s">
        <v>825</v>
      </c>
      <c r="G10" s="581"/>
      <c r="J10" s="792" t="s">
        <v>826</v>
      </c>
    </row>
    <row r="11" spans="1:10" ht="12.75">
      <c r="A11" s="39" t="s">
        <v>804</v>
      </c>
      <c r="B11" s="790"/>
      <c r="J11" s="792" t="s">
        <v>827</v>
      </c>
    </row>
    <row r="12" spans="1:2" ht="12.75">
      <c r="A12" s="39" t="s">
        <v>808</v>
      </c>
      <c r="B12" s="790"/>
    </row>
    <row r="13" spans="1:2" ht="12.75">
      <c r="A13" s="39" t="s">
        <v>809</v>
      </c>
      <c r="B13" s="790"/>
    </row>
    <row r="14" spans="1:2" ht="12.75">
      <c r="A14" s="39" t="s">
        <v>810</v>
      </c>
      <c r="B14" s="790"/>
    </row>
    <row r="15" spans="1:7" ht="12.75">
      <c r="A15" s="39" t="s">
        <v>805</v>
      </c>
      <c r="B15" s="790"/>
      <c r="F15" s="787" t="s">
        <v>812</v>
      </c>
      <c r="G15" s="788"/>
    </row>
    <row r="16" spans="1:7" ht="12.75">
      <c r="A16" s="785" t="s">
        <v>46</v>
      </c>
      <c r="B16" s="791">
        <f>SUM(B8:B15)</f>
        <v>0</v>
      </c>
      <c r="F16" s="789"/>
      <c r="G16" s="786"/>
    </row>
    <row r="17" spans="6:7" ht="25.5">
      <c r="F17" s="793" t="s">
        <v>815</v>
      </c>
      <c r="G17" s="794"/>
    </row>
    <row r="18" spans="6:7" ht="12.75">
      <c r="F18" s="794" t="s">
        <v>816</v>
      </c>
      <c r="G18" s="794"/>
    </row>
    <row r="19" spans="1:7" ht="12.75">
      <c r="A19" s="783" t="s">
        <v>811</v>
      </c>
      <c r="B19" s="784"/>
      <c r="F19" s="11" t="s">
        <v>822</v>
      </c>
      <c r="G19" s="794"/>
    </row>
    <row r="20" spans="1:7" ht="12.75">
      <c r="A20" s="783"/>
      <c r="B20" s="784"/>
      <c r="F20" s="794" t="s">
        <v>823</v>
      </c>
      <c r="G20" s="581"/>
    </row>
    <row r="21" spans="1:7" ht="12.75">
      <c r="A21" s="783" t="s">
        <v>806</v>
      </c>
      <c r="B21" s="784"/>
      <c r="F21" s="794" t="s">
        <v>824</v>
      </c>
      <c r="G21" s="794"/>
    </row>
    <row r="22" spans="1:7" ht="12.75">
      <c r="A22" s="783"/>
      <c r="B22" s="784"/>
      <c r="F22" s="794" t="s">
        <v>825</v>
      </c>
      <c r="G22" s="581"/>
    </row>
    <row r="23" spans="1:2" ht="12.75">
      <c r="A23" s="785" t="s">
        <v>807</v>
      </c>
      <c r="B23" s="790"/>
    </row>
    <row r="24" spans="1:2" ht="12.75">
      <c r="A24" s="39" t="s">
        <v>803</v>
      </c>
      <c r="B24" s="790"/>
    </row>
    <row r="25" spans="1:7" ht="12.75">
      <c r="A25" s="39" t="s">
        <v>706</v>
      </c>
      <c r="B25" s="790"/>
      <c r="F25" s="787" t="s">
        <v>812</v>
      </c>
      <c r="G25" s="788"/>
    </row>
    <row r="26" spans="1:7" ht="12.75">
      <c r="A26" s="39" t="s">
        <v>705</v>
      </c>
      <c r="B26" s="790"/>
      <c r="F26" s="789"/>
      <c r="G26" s="786"/>
    </row>
    <row r="27" spans="1:7" ht="25.5">
      <c r="A27" s="39" t="s">
        <v>804</v>
      </c>
      <c r="B27" s="790"/>
      <c r="F27" s="793" t="s">
        <v>815</v>
      </c>
      <c r="G27" s="794"/>
    </row>
    <row r="28" spans="1:7" ht="12.75">
      <c r="A28" s="39" t="s">
        <v>808</v>
      </c>
      <c r="B28" s="790"/>
      <c r="F28" s="794" t="s">
        <v>816</v>
      </c>
      <c r="G28" s="794"/>
    </row>
    <row r="29" spans="1:7" ht="12.75">
      <c r="A29" s="39" t="s">
        <v>809</v>
      </c>
      <c r="B29" s="790"/>
      <c r="F29" s="11" t="s">
        <v>822</v>
      </c>
      <c r="G29" s="794"/>
    </row>
    <row r="30" spans="1:7" ht="12.75">
      <c r="A30" s="39" t="s">
        <v>810</v>
      </c>
      <c r="B30" s="790"/>
      <c r="F30" s="794" t="s">
        <v>823</v>
      </c>
      <c r="G30" s="581"/>
    </row>
    <row r="31" spans="1:7" ht="12.75">
      <c r="A31" s="39" t="s">
        <v>805</v>
      </c>
      <c r="B31" s="790"/>
      <c r="F31" s="794" t="s">
        <v>824</v>
      </c>
      <c r="G31" s="794"/>
    </row>
    <row r="32" spans="1:7" ht="12.75">
      <c r="A32" s="785" t="s">
        <v>46</v>
      </c>
      <c r="B32" s="791"/>
      <c r="F32" s="794" t="s">
        <v>825</v>
      </c>
      <c r="G32" s="581"/>
    </row>
    <row r="35" spans="1:6" ht="12.75">
      <c r="A35" s="783" t="s">
        <v>811</v>
      </c>
      <c r="B35" s="784"/>
      <c r="F35" s="795" t="s">
        <v>983</v>
      </c>
    </row>
    <row r="36" spans="1:7" ht="12.75">
      <c r="A36" s="783"/>
      <c r="B36" s="784"/>
      <c r="G36" s="855"/>
    </row>
    <row r="37" spans="1:7" ht="12.75">
      <c r="A37" s="783" t="s">
        <v>806</v>
      </c>
      <c r="B37" s="784"/>
      <c r="F37" s="787" t="s">
        <v>812</v>
      </c>
      <c r="G37" s="788"/>
    </row>
    <row r="38" spans="1:7" ht="12.75">
      <c r="A38" s="783"/>
      <c r="B38" s="784"/>
      <c r="F38" s="789"/>
      <c r="G38" s="786"/>
    </row>
    <row r="39" spans="1:7" ht="12.75">
      <c r="A39" s="785" t="s">
        <v>807</v>
      </c>
      <c r="B39" s="790"/>
      <c r="F39" s="794" t="s">
        <v>829</v>
      </c>
      <c r="G39" s="794"/>
    </row>
    <row r="40" spans="1:7" ht="12.75">
      <c r="A40" s="39" t="s">
        <v>803</v>
      </c>
      <c r="B40" s="790"/>
      <c r="F40" s="787" t="s">
        <v>812</v>
      </c>
      <c r="G40" s="788"/>
    </row>
    <row r="41" spans="1:7" ht="12.75">
      <c r="A41" s="39" t="s">
        <v>706</v>
      </c>
      <c r="B41" s="790"/>
      <c r="F41" s="789"/>
      <c r="G41" s="786"/>
    </row>
    <row r="42" spans="1:7" ht="12.75">
      <c r="A42" s="39" t="s">
        <v>705</v>
      </c>
      <c r="B42" s="790"/>
      <c r="F42" s="794" t="s">
        <v>829</v>
      </c>
      <c r="G42" s="794"/>
    </row>
    <row r="43" spans="1:7" ht="12.75">
      <c r="A43" s="39" t="s">
        <v>804</v>
      </c>
      <c r="B43" s="790"/>
      <c r="F43" s="787" t="s">
        <v>812</v>
      </c>
      <c r="G43" s="788"/>
    </row>
    <row r="44" spans="1:7" ht="12.75">
      <c r="A44" s="39" t="s">
        <v>808</v>
      </c>
      <c r="B44" s="790"/>
      <c r="F44" s="789"/>
      <c r="G44" s="786"/>
    </row>
    <row r="45" spans="1:7" ht="12.75">
      <c r="A45" s="39" t="s">
        <v>809</v>
      </c>
      <c r="B45" s="790"/>
      <c r="F45" s="794" t="s">
        <v>829</v>
      </c>
      <c r="G45" s="794"/>
    </row>
    <row r="46" spans="1:2" ht="12.75">
      <c r="A46" s="39" t="s">
        <v>810</v>
      </c>
      <c r="B46" s="790"/>
    </row>
    <row r="47" spans="1:2" ht="12.75">
      <c r="A47" s="39" t="s">
        <v>805</v>
      </c>
      <c r="B47" s="790"/>
    </row>
    <row r="48" spans="1:2" ht="12.75">
      <c r="A48" s="785" t="s">
        <v>46</v>
      </c>
      <c r="B48" s="791"/>
    </row>
    <row r="51" spans="1:2" ht="12.75">
      <c r="A51" s="783" t="s">
        <v>811</v>
      </c>
      <c r="B51" s="784"/>
    </row>
    <row r="52" spans="1:2" ht="12.75">
      <c r="A52" s="783"/>
      <c r="B52" s="784"/>
    </row>
    <row r="53" spans="1:2" ht="12.75">
      <c r="A53" s="783" t="s">
        <v>806</v>
      </c>
      <c r="B53" s="784"/>
    </row>
    <row r="54" spans="1:2" ht="12.75">
      <c r="A54" s="783"/>
      <c r="B54" s="784"/>
    </row>
    <row r="55" spans="1:2" ht="12.75">
      <c r="A55" s="785" t="s">
        <v>807</v>
      </c>
      <c r="B55" s="790"/>
    </row>
    <row r="56" spans="1:2" ht="12.75">
      <c r="A56" s="39" t="s">
        <v>803</v>
      </c>
      <c r="B56" s="790"/>
    </row>
    <row r="57" spans="1:2" ht="12.75">
      <c r="A57" s="39" t="s">
        <v>706</v>
      </c>
      <c r="B57" s="790"/>
    </row>
    <row r="58" spans="1:2" ht="12.75">
      <c r="A58" s="39" t="s">
        <v>705</v>
      </c>
      <c r="B58" s="790"/>
    </row>
    <row r="59" spans="1:2" ht="12.75">
      <c r="A59" s="39" t="s">
        <v>804</v>
      </c>
      <c r="B59" s="790"/>
    </row>
    <row r="60" spans="1:2" ht="12.75">
      <c r="A60" s="39" t="s">
        <v>808</v>
      </c>
      <c r="B60" s="790"/>
    </row>
    <row r="61" spans="1:2" ht="12.75">
      <c r="A61" s="39" t="s">
        <v>809</v>
      </c>
      <c r="B61" s="790"/>
    </row>
    <row r="62" spans="1:2" ht="12.75">
      <c r="A62" s="39" t="s">
        <v>810</v>
      </c>
      <c r="B62" s="790"/>
    </row>
    <row r="63" spans="1:2" ht="12.75">
      <c r="A63" s="39" t="s">
        <v>805</v>
      </c>
      <c r="B63" s="790"/>
    </row>
    <row r="64" spans="1:2" ht="12.75">
      <c r="A64" s="785" t="s">
        <v>46</v>
      </c>
      <c r="B64" s="791"/>
    </row>
    <row r="67" spans="1:2" ht="12.75">
      <c r="A67" s="783" t="s">
        <v>811</v>
      </c>
      <c r="B67" s="784"/>
    </row>
    <row r="68" spans="1:2" ht="12.75">
      <c r="A68" s="783"/>
      <c r="B68" s="784"/>
    </row>
    <row r="69" spans="1:2" ht="12.75">
      <c r="A69" s="783" t="s">
        <v>806</v>
      </c>
      <c r="B69" s="784"/>
    </row>
    <row r="70" spans="1:2" ht="12.75">
      <c r="A70" s="783"/>
      <c r="B70" s="784"/>
    </row>
    <row r="71" spans="1:2" ht="12.75">
      <c r="A71" s="785" t="s">
        <v>807</v>
      </c>
      <c r="B71" s="790"/>
    </row>
    <row r="72" spans="1:2" ht="12.75">
      <c r="A72" s="39" t="s">
        <v>803</v>
      </c>
      <c r="B72" s="790"/>
    </row>
    <row r="73" spans="1:2" ht="12.75">
      <c r="A73" s="39" t="s">
        <v>706</v>
      </c>
      <c r="B73" s="790"/>
    </row>
    <row r="74" spans="1:2" ht="12.75">
      <c r="A74" s="39" t="s">
        <v>705</v>
      </c>
      <c r="B74" s="790"/>
    </row>
    <row r="75" spans="1:2" ht="12.75">
      <c r="A75" s="39" t="s">
        <v>804</v>
      </c>
      <c r="B75" s="790"/>
    </row>
    <row r="76" spans="1:2" ht="12.75">
      <c r="A76" s="39" t="s">
        <v>808</v>
      </c>
      <c r="B76" s="790"/>
    </row>
    <row r="77" spans="1:2" ht="12.75">
      <c r="A77" s="39" t="s">
        <v>809</v>
      </c>
      <c r="B77" s="790"/>
    </row>
    <row r="78" spans="1:2" ht="12.75">
      <c r="A78" s="39" t="s">
        <v>810</v>
      </c>
      <c r="B78" s="790"/>
    </row>
    <row r="79" spans="1:2" ht="12.75">
      <c r="A79" s="39" t="s">
        <v>805</v>
      </c>
      <c r="B79" s="790"/>
    </row>
    <row r="80" spans="1:2" ht="12.75">
      <c r="A80" s="785" t="s">
        <v>46</v>
      </c>
      <c r="B80" s="791"/>
    </row>
    <row r="83" spans="1:2" ht="12.75">
      <c r="A83" s="783" t="s">
        <v>811</v>
      </c>
      <c r="B83" s="784"/>
    </row>
    <row r="84" spans="1:2" ht="12.75">
      <c r="A84" s="783"/>
      <c r="B84" s="784"/>
    </row>
    <row r="85" spans="1:2" ht="12.75">
      <c r="A85" s="783" t="s">
        <v>806</v>
      </c>
      <c r="B85" s="784"/>
    </row>
    <row r="86" spans="1:2" ht="12.75">
      <c r="A86" s="783"/>
      <c r="B86" s="784"/>
    </row>
    <row r="87" spans="1:2" ht="12.75">
      <c r="A87" s="785" t="s">
        <v>807</v>
      </c>
      <c r="B87" s="790"/>
    </row>
    <row r="88" spans="1:2" ht="12.75">
      <c r="A88" s="39" t="s">
        <v>803</v>
      </c>
      <c r="B88" s="790"/>
    </row>
    <row r="89" spans="1:2" ht="12.75">
      <c r="A89" s="39" t="s">
        <v>706</v>
      </c>
      <c r="B89" s="790"/>
    </row>
    <row r="90" spans="1:2" ht="12.75">
      <c r="A90" s="39" t="s">
        <v>705</v>
      </c>
      <c r="B90" s="790"/>
    </row>
    <row r="91" spans="1:2" ht="12.75">
      <c r="A91" s="39" t="s">
        <v>804</v>
      </c>
      <c r="B91" s="790"/>
    </row>
    <row r="92" spans="1:2" ht="12.75">
      <c r="A92" s="39" t="s">
        <v>808</v>
      </c>
      <c r="B92" s="790"/>
    </row>
    <row r="93" spans="1:2" ht="12.75">
      <c r="A93" s="39" t="s">
        <v>809</v>
      </c>
      <c r="B93" s="790"/>
    </row>
    <row r="94" spans="1:2" ht="12.75">
      <c r="A94" s="39" t="s">
        <v>810</v>
      </c>
      <c r="B94" s="790"/>
    </row>
    <row r="95" spans="1:2" ht="12.75">
      <c r="A95" s="39" t="s">
        <v>805</v>
      </c>
      <c r="B95" s="790"/>
    </row>
    <row r="96" spans="1:2" ht="12.75">
      <c r="A96" s="785" t="s">
        <v>46</v>
      </c>
      <c r="B96" s="791"/>
    </row>
  </sheetData>
  <sheetProtection/>
  <dataValidations count="3">
    <dataValidation type="list" allowBlank="1" showInputMessage="1" showErrorMessage="1" sqref="G6 G18 G28">
      <formula1>$J$1:$J$5</formula1>
    </dataValidation>
    <dataValidation type="list" allowBlank="1" showInputMessage="1" showErrorMessage="1" sqref="G8 G20 G30">
      <formula1>$J$7:$J$8</formula1>
    </dataValidation>
    <dataValidation type="list" allowBlank="1" showInputMessage="1" showErrorMessage="1" sqref="G10 G22 G32">
      <formula1>$J$10:$J$11</formula1>
    </dataValidation>
  </dataValidations>
  <hyperlinks>
    <hyperlink ref="D1" location="'Inserimento dati'!A1" display="InsDati"/>
    <hyperlink ref="D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48.00390625" style="0" customWidth="1"/>
    <col min="2" max="4" width="13.7109375" style="0" customWidth="1"/>
    <col min="7" max="7" width="43.57421875" style="0" hidden="1" customWidth="1" outlineLevel="1"/>
    <col min="8" max="8" width="10.00390625" style="0" hidden="1" customWidth="1" outlineLevel="1"/>
    <col min="9" max="10" width="13.7109375" style="0" hidden="1" customWidth="1" outlineLevel="1"/>
    <col min="11" max="12" width="0" style="0" hidden="1" customWidth="1" outlineLevel="1"/>
    <col min="13" max="13" width="9.140625" style="0" customWidth="1" collapsed="1"/>
  </cols>
  <sheetData>
    <row r="1" spans="1:6" ht="12.75">
      <c r="A1" s="795" t="s">
        <v>830</v>
      </c>
      <c r="F1" s="555" t="s">
        <v>624</v>
      </c>
    </row>
    <row r="2" spans="4:6" ht="12.75">
      <c r="D2" s="1066" t="str">
        <f>"Tab. 34 - "&amp;Comune</f>
        <v>Tab. 34 - </v>
      </c>
      <c r="F2" s="748" t="s">
        <v>777</v>
      </c>
    </row>
    <row r="3" spans="1:4" ht="12.75">
      <c r="A3" s="796" t="s">
        <v>831</v>
      </c>
      <c r="B3" s="1171" t="s">
        <v>832</v>
      </c>
      <c r="C3" s="1171"/>
      <c r="D3" s="1171"/>
    </row>
    <row r="4" spans="1:4" ht="12.75">
      <c r="A4" s="797"/>
      <c r="B4" s="12">
        <v>2011</v>
      </c>
      <c r="C4" s="12">
        <f>+B4+1</f>
        <v>2012</v>
      </c>
      <c r="D4" s="12">
        <f>+C4+1</f>
        <v>2013</v>
      </c>
    </row>
    <row r="5" spans="1:4" ht="12.75">
      <c r="A5" s="539" t="s">
        <v>833</v>
      </c>
      <c r="B5" s="2"/>
      <c r="C5" s="2"/>
      <c r="D5" s="2"/>
    </row>
    <row r="6" spans="1:4" ht="12.75">
      <c r="A6" s="539" t="s">
        <v>834</v>
      </c>
      <c r="B6" s="2"/>
      <c r="C6" s="2"/>
      <c r="D6" s="2"/>
    </row>
    <row r="7" spans="1:4" ht="12.75">
      <c r="A7" s="766" t="s">
        <v>835</v>
      </c>
      <c r="B7" s="2"/>
      <c r="C7" s="2"/>
      <c r="D7" s="2"/>
    </row>
    <row r="8" spans="1:4" ht="24">
      <c r="A8" s="554" t="s">
        <v>836</v>
      </c>
      <c r="B8" s="2"/>
      <c r="C8" s="2"/>
      <c r="D8" s="2"/>
    </row>
    <row r="9" spans="1:7" ht="12.75">
      <c r="A9" s="766" t="s">
        <v>837</v>
      </c>
      <c r="B9" s="2"/>
      <c r="C9" s="2"/>
      <c r="D9" s="2"/>
      <c r="G9" s="7" t="s">
        <v>850</v>
      </c>
    </row>
    <row r="10" spans="1:10" ht="12.75">
      <c r="A10" s="539" t="s">
        <v>838</v>
      </c>
      <c r="B10" s="2"/>
      <c r="C10" s="2"/>
      <c r="D10" s="2"/>
      <c r="J10" s="855" t="str">
        <f>"Tab. 59 - Comune di "&amp;Comune</f>
        <v>Tab. 59 - Comune di </v>
      </c>
    </row>
    <row r="11" spans="1:10" ht="12.75">
      <c r="A11" s="539" t="s">
        <v>839</v>
      </c>
      <c r="B11" s="2"/>
      <c r="C11" s="2"/>
      <c r="D11" s="2"/>
      <c r="G11" s="813" t="s">
        <v>450</v>
      </c>
      <c r="H11" s="813" t="s">
        <v>853</v>
      </c>
      <c r="I11" s="813" t="s">
        <v>851</v>
      </c>
      <c r="J11" s="813" t="s">
        <v>852</v>
      </c>
    </row>
    <row r="12" spans="1:10" ht="12.75">
      <c r="A12" s="539" t="s">
        <v>840</v>
      </c>
      <c r="B12" s="2"/>
      <c r="C12" s="2"/>
      <c r="D12" s="2"/>
      <c r="G12" s="8"/>
      <c r="H12" s="814"/>
      <c r="I12" s="816"/>
      <c r="J12" s="816"/>
    </row>
    <row r="13" spans="1:10" ht="12.75">
      <c r="A13" s="539" t="s">
        <v>841</v>
      </c>
      <c r="B13" s="2"/>
      <c r="C13" s="2"/>
      <c r="D13" s="2"/>
      <c r="G13" s="2"/>
      <c r="H13" s="815"/>
      <c r="I13" s="28"/>
      <c r="J13" s="28"/>
    </row>
    <row r="14" spans="1:10" ht="12.75">
      <c r="A14" s="539" t="s">
        <v>842</v>
      </c>
      <c r="B14" s="2"/>
      <c r="C14" s="2"/>
      <c r="D14" s="2"/>
      <c r="G14" s="2"/>
      <c r="H14" s="815"/>
      <c r="I14" s="28"/>
      <c r="J14" s="28"/>
    </row>
    <row r="15" spans="1:10" ht="12.75">
      <c r="A15" s="539" t="s">
        <v>843</v>
      </c>
      <c r="B15" s="2"/>
      <c r="C15" s="2"/>
      <c r="D15" s="2"/>
      <c r="G15" s="2"/>
      <c r="H15" s="815"/>
      <c r="I15" s="28"/>
      <c r="J15" s="28"/>
    </row>
    <row r="16" spans="1:10" ht="12.75">
      <c r="A16" s="554" t="s">
        <v>844</v>
      </c>
      <c r="B16" s="2"/>
      <c r="C16" s="2"/>
      <c r="D16" s="2"/>
      <c r="G16" s="2"/>
      <c r="H16" s="815"/>
      <c r="I16" s="28"/>
      <c r="J16" s="28"/>
    </row>
    <row r="17" spans="1:10" ht="12.75">
      <c r="A17" s="539" t="s">
        <v>845</v>
      </c>
      <c r="B17" s="2"/>
      <c r="C17" s="2"/>
      <c r="D17" s="2"/>
      <c r="G17" s="2"/>
      <c r="H17" s="815"/>
      <c r="I17" s="28"/>
      <c r="J17" s="28"/>
    </row>
    <row r="18" spans="1:10" ht="12.75">
      <c r="A18" s="554" t="s">
        <v>846</v>
      </c>
      <c r="B18" s="2"/>
      <c r="C18" s="2"/>
      <c r="D18" s="2"/>
      <c r="G18" s="12" t="s">
        <v>279</v>
      </c>
      <c r="H18" s="2"/>
      <c r="I18" s="29">
        <f>SUM(I12:I17)</f>
        <v>0</v>
      </c>
      <c r="J18" s="29">
        <f>SUM(J12:J17)</f>
        <v>0</v>
      </c>
    </row>
    <row r="19" spans="1:4" ht="12.75">
      <c r="A19" s="539" t="s">
        <v>847</v>
      </c>
      <c r="B19" s="2"/>
      <c r="C19" s="2"/>
      <c r="D19" s="2"/>
    </row>
    <row r="22" spans="1:4" ht="12.75">
      <c r="A22" s="796" t="s">
        <v>831</v>
      </c>
      <c r="B22" s="1171" t="s">
        <v>832</v>
      </c>
      <c r="C22" s="1171"/>
      <c r="D22" s="1171"/>
    </row>
    <row r="23" spans="1:4" ht="12.75">
      <c r="A23" s="797"/>
      <c r="B23" s="12">
        <v>2010</v>
      </c>
      <c r="C23" s="12">
        <v>2011</v>
      </c>
      <c r="D23" s="12">
        <v>2012</v>
      </c>
    </row>
    <row r="24" spans="1:4" ht="12.75">
      <c r="A24" s="539" t="s">
        <v>833</v>
      </c>
      <c r="B24" s="2"/>
      <c r="C24" s="2"/>
      <c r="D24" s="2"/>
    </row>
    <row r="25" spans="1:4" ht="12.75">
      <c r="A25" s="539" t="s">
        <v>834</v>
      </c>
      <c r="B25" s="2"/>
      <c r="C25" s="2"/>
      <c r="D25" s="2"/>
    </row>
    <row r="26" spans="1:4" ht="12.75">
      <c r="A26" s="766" t="s">
        <v>835</v>
      </c>
      <c r="B26" s="2"/>
      <c r="C26" s="2"/>
      <c r="D26" s="2"/>
    </row>
    <row r="27" spans="1:4" ht="24">
      <c r="A27" s="554" t="s">
        <v>836</v>
      </c>
      <c r="B27" s="2"/>
      <c r="C27" s="2"/>
      <c r="D27" s="2"/>
    </row>
    <row r="28" spans="1:4" ht="12.75">
      <c r="A28" s="766" t="s">
        <v>837</v>
      </c>
      <c r="B28" s="2"/>
      <c r="C28" s="2"/>
      <c r="D28" s="2"/>
    </row>
    <row r="29" spans="1:4" ht="12.75">
      <c r="A29" s="539" t="s">
        <v>838</v>
      </c>
      <c r="B29" s="2"/>
      <c r="C29" s="2"/>
      <c r="D29" s="2"/>
    </row>
    <row r="30" spans="1:4" ht="12.75">
      <c r="A30" s="539" t="s">
        <v>839</v>
      </c>
      <c r="B30" s="2"/>
      <c r="C30" s="2"/>
      <c r="D30" s="2"/>
    </row>
    <row r="31" spans="1:4" ht="12.75">
      <c r="A31" s="539" t="s">
        <v>840</v>
      </c>
      <c r="B31" s="2"/>
      <c r="C31" s="2"/>
      <c r="D31" s="2"/>
    </row>
    <row r="32" spans="1:4" ht="12.75">
      <c r="A32" s="539" t="s">
        <v>841</v>
      </c>
      <c r="B32" s="2"/>
      <c r="C32" s="2"/>
      <c r="D32" s="2"/>
    </row>
    <row r="33" spans="1:4" ht="12.75">
      <c r="A33" s="539" t="s">
        <v>842</v>
      </c>
      <c r="B33" s="2"/>
      <c r="C33" s="2"/>
      <c r="D33" s="2"/>
    </row>
    <row r="34" spans="1:4" ht="12.75">
      <c r="A34" s="539" t="s">
        <v>843</v>
      </c>
      <c r="B34" s="2"/>
      <c r="C34" s="2"/>
      <c r="D34" s="2"/>
    </row>
    <row r="35" spans="1:4" ht="12.75">
      <c r="A35" s="554" t="s">
        <v>844</v>
      </c>
      <c r="B35" s="2"/>
      <c r="C35" s="2"/>
      <c r="D35" s="2"/>
    </row>
    <row r="36" spans="1:4" ht="12.75">
      <c r="A36" s="539" t="s">
        <v>845</v>
      </c>
      <c r="B36" s="2"/>
      <c r="C36" s="2"/>
      <c r="D36" s="2"/>
    </row>
    <row r="37" spans="1:4" ht="12.75">
      <c r="A37" s="554" t="s">
        <v>846</v>
      </c>
      <c r="B37" s="2"/>
      <c r="C37" s="2"/>
      <c r="D37" s="2"/>
    </row>
    <row r="38" spans="1:4" ht="12.75">
      <c r="A38" s="539" t="s">
        <v>847</v>
      </c>
      <c r="B38" s="2"/>
      <c r="C38" s="2"/>
      <c r="D38" s="2"/>
    </row>
    <row r="41" spans="1:4" ht="12.75">
      <c r="A41" s="796" t="s">
        <v>831</v>
      </c>
      <c r="B41" s="1171" t="s">
        <v>832</v>
      </c>
      <c r="C41" s="1171"/>
      <c r="D41" s="1171"/>
    </row>
    <row r="42" spans="1:4" ht="12.75">
      <c r="A42" s="797"/>
      <c r="B42" s="12">
        <v>2010</v>
      </c>
      <c r="C42" s="12">
        <v>2011</v>
      </c>
      <c r="D42" s="12">
        <v>2012</v>
      </c>
    </row>
    <row r="43" spans="1:4" ht="12.75">
      <c r="A43" s="539" t="s">
        <v>833</v>
      </c>
      <c r="B43" s="2"/>
      <c r="C43" s="2"/>
      <c r="D43" s="2"/>
    </row>
    <row r="44" spans="1:4" ht="12.75">
      <c r="A44" s="539" t="s">
        <v>834</v>
      </c>
      <c r="B44" s="2"/>
      <c r="C44" s="2"/>
      <c r="D44" s="2"/>
    </row>
    <row r="45" spans="1:4" ht="12.75">
      <c r="A45" s="766" t="s">
        <v>835</v>
      </c>
      <c r="B45" s="2"/>
      <c r="C45" s="2"/>
      <c r="D45" s="2"/>
    </row>
    <row r="46" spans="1:4" ht="24">
      <c r="A46" s="554" t="s">
        <v>836</v>
      </c>
      <c r="B46" s="2"/>
      <c r="C46" s="2"/>
      <c r="D46" s="2"/>
    </row>
    <row r="47" spans="1:4" ht="12.75">
      <c r="A47" s="766" t="s">
        <v>837</v>
      </c>
      <c r="B47" s="2"/>
      <c r="C47" s="2"/>
      <c r="D47" s="2"/>
    </row>
    <row r="48" spans="1:4" ht="12.75">
      <c r="A48" s="539" t="s">
        <v>838</v>
      </c>
      <c r="B48" s="2"/>
      <c r="C48" s="2"/>
      <c r="D48" s="2"/>
    </row>
    <row r="49" spans="1:4" ht="12.75">
      <c r="A49" s="539" t="s">
        <v>839</v>
      </c>
      <c r="B49" s="2"/>
      <c r="C49" s="2"/>
      <c r="D49" s="2"/>
    </row>
    <row r="50" spans="1:4" ht="12.75">
      <c r="A50" s="539" t="s">
        <v>840</v>
      </c>
      <c r="B50" s="2"/>
      <c r="C50" s="2"/>
      <c r="D50" s="2"/>
    </row>
    <row r="51" spans="1:4" ht="12.75">
      <c r="A51" s="539" t="s">
        <v>841</v>
      </c>
      <c r="B51" s="2"/>
      <c r="C51" s="2"/>
      <c r="D51" s="2"/>
    </row>
    <row r="52" spans="1:4" ht="12.75">
      <c r="A52" s="539" t="s">
        <v>842</v>
      </c>
      <c r="B52" s="2"/>
      <c r="C52" s="2"/>
      <c r="D52" s="2"/>
    </row>
    <row r="53" spans="1:4" ht="12.75">
      <c r="A53" s="539" t="s">
        <v>843</v>
      </c>
      <c r="B53" s="2"/>
      <c r="C53" s="2"/>
      <c r="D53" s="2"/>
    </row>
    <row r="54" spans="1:4" ht="12.75">
      <c r="A54" s="554" t="s">
        <v>844</v>
      </c>
      <c r="B54" s="2"/>
      <c r="C54" s="2"/>
      <c r="D54" s="2"/>
    </row>
    <row r="55" spans="1:4" ht="12.75">
      <c r="A55" s="539" t="s">
        <v>845</v>
      </c>
      <c r="B55" s="2"/>
      <c r="C55" s="2"/>
      <c r="D55" s="2"/>
    </row>
    <row r="56" spans="1:4" ht="12.75">
      <c r="A56" s="554" t="s">
        <v>846</v>
      </c>
      <c r="B56" s="2"/>
      <c r="C56" s="2"/>
      <c r="D56" s="2"/>
    </row>
    <row r="57" spans="1:4" ht="12.75">
      <c r="A57" s="539" t="s">
        <v>847</v>
      </c>
      <c r="B57" s="2"/>
      <c r="C57" s="2"/>
      <c r="D57" s="2"/>
    </row>
    <row r="60" spans="1:4" ht="12.75">
      <c r="A60" s="796" t="s">
        <v>831</v>
      </c>
      <c r="B60" s="1171" t="s">
        <v>832</v>
      </c>
      <c r="C60" s="1171"/>
      <c r="D60" s="1171"/>
    </row>
    <row r="61" spans="1:4" ht="12.75">
      <c r="A61" s="797"/>
      <c r="B61" s="12">
        <v>2010</v>
      </c>
      <c r="C61" s="12">
        <v>2011</v>
      </c>
      <c r="D61" s="12">
        <v>2012</v>
      </c>
    </row>
    <row r="62" spans="1:4" ht="12.75">
      <c r="A62" s="539" t="s">
        <v>833</v>
      </c>
      <c r="B62" s="2"/>
      <c r="C62" s="2"/>
      <c r="D62" s="2"/>
    </row>
    <row r="63" spans="1:4" ht="12.75">
      <c r="A63" s="539" t="s">
        <v>834</v>
      </c>
      <c r="B63" s="2"/>
      <c r="C63" s="2"/>
      <c r="D63" s="2"/>
    </row>
    <row r="64" spans="1:4" ht="12.75">
      <c r="A64" s="766" t="s">
        <v>835</v>
      </c>
      <c r="B64" s="2"/>
      <c r="C64" s="2"/>
      <c r="D64" s="2"/>
    </row>
    <row r="65" spans="1:4" ht="24">
      <c r="A65" s="554" t="s">
        <v>836</v>
      </c>
      <c r="B65" s="2"/>
      <c r="C65" s="2"/>
      <c r="D65" s="2"/>
    </row>
    <row r="66" spans="1:4" ht="12.75">
      <c r="A66" s="766" t="s">
        <v>837</v>
      </c>
      <c r="B66" s="2"/>
      <c r="C66" s="2"/>
      <c r="D66" s="2"/>
    </row>
    <row r="67" spans="1:4" ht="12.75">
      <c r="A67" s="539" t="s">
        <v>838</v>
      </c>
      <c r="B67" s="2"/>
      <c r="C67" s="2"/>
      <c r="D67" s="2"/>
    </row>
    <row r="68" spans="1:4" ht="12.75">
      <c r="A68" s="539" t="s">
        <v>839</v>
      </c>
      <c r="B68" s="2"/>
      <c r="C68" s="2"/>
      <c r="D68" s="2"/>
    </row>
    <row r="69" spans="1:4" ht="12.75">
      <c r="A69" s="539" t="s">
        <v>840</v>
      </c>
      <c r="B69" s="2"/>
      <c r="C69" s="2"/>
      <c r="D69" s="2"/>
    </row>
    <row r="70" spans="1:4" ht="12.75">
      <c r="A70" s="539" t="s">
        <v>841</v>
      </c>
      <c r="B70" s="2"/>
      <c r="C70" s="2"/>
      <c r="D70" s="2"/>
    </row>
    <row r="71" spans="1:4" ht="12.75">
      <c r="A71" s="539" t="s">
        <v>842</v>
      </c>
      <c r="B71" s="2"/>
      <c r="C71" s="2"/>
      <c r="D71" s="2"/>
    </row>
    <row r="72" spans="1:4" ht="12.75">
      <c r="A72" s="539" t="s">
        <v>843</v>
      </c>
      <c r="B72" s="2"/>
      <c r="C72" s="2"/>
      <c r="D72" s="2"/>
    </row>
    <row r="73" spans="1:4" ht="12.75">
      <c r="A73" s="554" t="s">
        <v>844</v>
      </c>
      <c r="B73" s="2"/>
      <c r="C73" s="2"/>
      <c r="D73" s="2"/>
    </row>
    <row r="74" spans="1:4" ht="12.75">
      <c r="A74" s="539" t="s">
        <v>845</v>
      </c>
      <c r="B74" s="2"/>
      <c r="C74" s="2"/>
      <c r="D74" s="2"/>
    </row>
    <row r="75" spans="1:4" ht="12.75">
      <c r="A75" s="554" t="s">
        <v>846</v>
      </c>
      <c r="B75" s="2"/>
      <c r="C75" s="2"/>
      <c r="D75" s="2"/>
    </row>
    <row r="76" spans="1:4" ht="12.75">
      <c r="A76" s="539" t="s">
        <v>847</v>
      </c>
      <c r="B76" s="2"/>
      <c r="C76" s="2"/>
      <c r="D76" s="2"/>
    </row>
    <row r="79" spans="1:4" ht="12.75">
      <c r="A79" s="796" t="s">
        <v>831</v>
      </c>
      <c r="B79" s="1171" t="s">
        <v>832</v>
      </c>
      <c r="C79" s="1171"/>
      <c r="D79" s="1171"/>
    </row>
    <row r="80" spans="1:4" ht="12.75">
      <c r="A80" s="797"/>
      <c r="B80" s="12">
        <v>2010</v>
      </c>
      <c r="C80" s="12">
        <v>2011</v>
      </c>
      <c r="D80" s="12">
        <v>2012</v>
      </c>
    </row>
    <row r="81" spans="1:4" ht="12.75">
      <c r="A81" s="539" t="s">
        <v>833</v>
      </c>
      <c r="B81" s="2"/>
      <c r="C81" s="2"/>
      <c r="D81" s="2"/>
    </row>
    <row r="82" spans="1:4" ht="12.75">
      <c r="A82" s="539" t="s">
        <v>834</v>
      </c>
      <c r="B82" s="2"/>
      <c r="C82" s="2"/>
      <c r="D82" s="2"/>
    </row>
    <row r="83" spans="1:4" ht="12.75">
      <c r="A83" s="766" t="s">
        <v>835</v>
      </c>
      <c r="B83" s="2"/>
      <c r="C83" s="2"/>
      <c r="D83" s="2"/>
    </row>
    <row r="84" spans="1:4" ht="24">
      <c r="A84" s="554" t="s">
        <v>836</v>
      </c>
      <c r="B84" s="2"/>
      <c r="C84" s="2"/>
      <c r="D84" s="2"/>
    </row>
    <row r="85" spans="1:4" ht="12.75">
      <c r="A85" s="766" t="s">
        <v>837</v>
      </c>
      <c r="B85" s="2"/>
      <c r="C85" s="2"/>
      <c r="D85" s="2"/>
    </row>
    <row r="86" spans="1:4" ht="12.75">
      <c r="A86" s="539" t="s">
        <v>838</v>
      </c>
      <c r="B86" s="2"/>
      <c r="C86" s="2"/>
      <c r="D86" s="2"/>
    </row>
    <row r="87" spans="1:4" ht="12.75">
      <c r="A87" s="539" t="s">
        <v>839</v>
      </c>
      <c r="B87" s="2"/>
      <c r="C87" s="2"/>
      <c r="D87" s="2"/>
    </row>
    <row r="88" spans="1:4" ht="12.75">
      <c r="A88" s="539" t="s">
        <v>840</v>
      </c>
      <c r="B88" s="2"/>
      <c r="C88" s="2"/>
      <c r="D88" s="2"/>
    </row>
    <row r="89" spans="1:4" ht="12.75">
      <c r="A89" s="539" t="s">
        <v>841</v>
      </c>
      <c r="B89" s="2"/>
      <c r="C89" s="2"/>
      <c r="D89" s="2"/>
    </row>
    <row r="90" spans="1:4" ht="12.75">
      <c r="A90" s="539" t="s">
        <v>842</v>
      </c>
      <c r="B90" s="2"/>
      <c r="C90" s="2"/>
      <c r="D90" s="2"/>
    </row>
    <row r="91" spans="1:4" ht="12.75">
      <c r="A91" s="539" t="s">
        <v>843</v>
      </c>
      <c r="B91" s="2"/>
      <c r="C91" s="2"/>
      <c r="D91" s="2"/>
    </row>
    <row r="92" spans="1:4" ht="12.75">
      <c r="A92" s="554" t="s">
        <v>844</v>
      </c>
      <c r="B92" s="2"/>
      <c r="C92" s="2"/>
      <c r="D92" s="2"/>
    </row>
    <row r="93" spans="1:4" ht="12.75">
      <c r="A93" s="539" t="s">
        <v>845</v>
      </c>
      <c r="B93" s="2"/>
      <c r="C93" s="2"/>
      <c r="D93" s="2"/>
    </row>
    <row r="94" spans="1:4" ht="12.75">
      <c r="A94" s="554" t="s">
        <v>846</v>
      </c>
      <c r="B94" s="2"/>
      <c r="C94" s="2"/>
      <c r="D94" s="2"/>
    </row>
    <row r="95" spans="1:4" ht="12.75">
      <c r="A95" s="539" t="s">
        <v>847</v>
      </c>
      <c r="B95" s="2"/>
      <c r="C95" s="2"/>
      <c r="D95" s="2"/>
    </row>
  </sheetData>
  <sheetProtection/>
  <mergeCells count="5">
    <mergeCell ref="B3:D3"/>
    <mergeCell ref="B22:D22"/>
    <mergeCell ref="B41:D41"/>
    <mergeCell ref="B60:D60"/>
    <mergeCell ref="B79:D79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="80" zoomScaleNormal="80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" sqref="L1"/>
    </sheetView>
  </sheetViews>
  <sheetFormatPr defaultColWidth="9.140625" defaultRowHeight="12.75" outlineLevelCol="1"/>
  <cols>
    <col min="1" max="1" width="39.140625" style="0" bestFit="1" customWidth="1"/>
    <col min="2" max="5" width="21.140625" style="0" customWidth="1" outlineLevel="1"/>
    <col min="6" max="10" width="21.140625" style="0" customWidth="1"/>
    <col min="11" max="12" width="19.7109375" style="0" customWidth="1"/>
  </cols>
  <sheetData>
    <row r="1" spans="1:12" ht="15.75">
      <c r="A1" s="27" t="s">
        <v>87</v>
      </c>
      <c r="B1" s="26" t="s">
        <v>91</v>
      </c>
      <c r="C1" s="26" t="s">
        <v>90</v>
      </c>
      <c r="D1" s="26" t="s">
        <v>89</v>
      </c>
      <c r="E1" s="26" t="s">
        <v>88</v>
      </c>
      <c r="F1" s="26" t="s">
        <v>566</v>
      </c>
      <c r="G1" s="26" t="s">
        <v>98</v>
      </c>
      <c r="H1" s="26" t="s">
        <v>886</v>
      </c>
      <c r="I1" s="26" t="s">
        <v>887</v>
      </c>
      <c r="J1" s="26" t="s">
        <v>99</v>
      </c>
      <c r="K1" s="26" t="s">
        <v>567</v>
      </c>
      <c r="L1" s="26" t="s">
        <v>888</v>
      </c>
    </row>
    <row r="2" ht="12.75">
      <c r="A2" s="748" t="s">
        <v>777</v>
      </c>
    </row>
    <row r="3" ht="16.5" customHeight="1">
      <c r="A3" s="7" t="s">
        <v>0</v>
      </c>
    </row>
    <row r="4" spans="1:12" ht="16.5" customHeight="1">
      <c r="A4" s="11" t="s">
        <v>92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>
      <c r="A5" s="11" t="s">
        <v>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>
      <c r="A6" s="11" t="s">
        <v>94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>
      <c r="A7" s="1" t="s">
        <v>100</v>
      </c>
      <c r="B7" s="29">
        <f aca="true" t="shared" si="0" ref="B7:J7">SUM(B4:B6)</f>
        <v>0</v>
      </c>
      <c r="C7" s="29">
        <f t="shared" si="0"/>
        <v>0</v>
      </c>
      <c r="D7" s="29">
        <f t="shared" si="0"/>
        <v>0</v>
      </c>
      <c r="E7" s="29">
        <f t="shared" si="0"/>
        <v>0</v>
      </c>
      <c r="F7" s="29">
        <f>SUM(F4:F6)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SUM(K4:K6)</f>
        <v>0</v>
      </c>
      <c r="L7" s="29">
        <f>SUM(L4:L6)</f>
        <v>0</v>
      </c>
    </row>
    <row r="8" spans="1:12" ht="16.5" customHeight="1">
      <c r="A8" s="11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>
      <c r="A9" s="11" t="s">
        <v>96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>
      <c r="A10" s="11" t="s">
        <v>97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>
      <c r="A11" s="1" t="s">
        <v>105</v>
      </c>
      <c r="B11" s="29">
        <f aca="true" t="shared" si="1" ref="B11:J11">SUM(B7:B10)</f>
        <v>0</v>
      </c>
      <c r="C11" s="29">
        <f t="shared" si="1"/>
        <v>0</v>
      </c>
      <c r="D11" s="29">
        <f t="shared" si="1"/>
        <v>0</v>
      </c>
      <c r="E11" s="29">
        <f t="shared" si="1"/>
        <v>0</v>
      </c>
      <c r="F11" s="29">
        <f>SUM(F7:F10)</f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>SUM(K7:K10)</f>
        <v>0</v>
      </c>
      <c r="L11" s="29">
        <f>SUM(L7:L10)</f>
        <v>0</v>
      </c>
    </row>
    <row r="12" ht="16.5" customHeight="1"/>
    <row r="13" spans="1:12" ht="16.5" customHeight="1">
      <c r="A13" s="11" t="s">
        <v>101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6.5" customHeight="1">
      <c r="A14" s="11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6.5" customHeight="1">
      <c r="A15" s="11" t="s">
        <v>103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6.5" customHeight="1">
      <c r="A16" s="11" t="s">
        <v>104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6.5" customHeight="1">
      <c r="A17" s="1" t="s">
        <v>106</v>
      </c>
      <c r="B17" s="29">
        <f aca="true" t="shared" si="2" ref="B17:J17">SUM(B13:B16)</f>
        <v>0</v>
      </c>
      <c r="C17" s="29">
        <f t="shared" si="2"/>
        <v>0</v>
      </c>
      <c r="D17" s="29">
        <f t="shared" si="2"/>
        <v>0</v>
      </c>
      <c r="E17" s="29">
        <f t="shared" si="2"/>
        <v>0</v>
      </c>
      <c r="F17" s="29">
        <f>SUM(F13:F16)</f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>SUM(K13:K16)</f>
        <v>0</v>
      </c>
      <c r="L17" s="29">
        <f>SUM(L13:L16)</f>
        <v>0</v>
      </c>
    </row>
    <row r="18" ht="16.5" customHeight="1"/>
    <row r="19" spans="1:12" ht="16.5" customHeight="1">
      <c r="A19" s="1" t="s">
        <v>107</v>
      </c>
      <c r="B19" s="28"/>
      <c r="C19" s="28"/>
      <c r="D19" s="28"/>
      <c r="E19" s="28"/>
      <c r="F19" s="28">
        <f>+IF(ECO12-ST1C12&gt;0,ECO12-ST1C12,0)</f>
        <v>0</v>
      </c>
      <c r="G19" s="28"/>
      <c r="H19" s="28"/>
      <c r="I19" s="28">
        <f>+IF(ECO13-ST1C13&gt;0,ECO13-ST1C13,0)</f>
        <v>0</v>
      </c>
      <c r="J19" s="28"/>
      <c r="K19" s="28"/>
      <c r="L19" s="28"/>
    </row>
    <row r="20" spans="1:12" ht="16.5" customHeight="1">
      <c r="A20" s="32" t="s">
        <v>108</v>
      </c>
      <c r="B20" s="28"/>
      <c r="C20" s="28"/>
      <c r="D20" s="28"/>
      <c r="E20" s="28"/>
      <c r="F20" s="28">
        <f>+IF(ST1C12-ECO12&gt;0,ECO12-ST1C12,0)</f>
        <v>0</v>
      </c>
      <c r="G20" s="28"/>
      <c r="H20" s="28"/>
      <c r="I20" s="28">
        <f>+IF(ST1C13-ECO13&gt;0,ECO13-ST1C13,0)</f>
        <v>0</v>
      </c>
      <c r="J20" s="28"/>
      <c r="K20" s="28"/>
      <c r="L20" s="28"/>
    </row>
    <row r="21" spans="1:12" ht="16.5" customHeight="1">
      <c r="A21" s="1" t="s">
        <v>169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6.5" customHeight="1">
      <c r="A22" s="1" t="s">
        <v>172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ht="16.5" customHeight="1"/>
    <row r="24" spans="1:12" ht="16.5" customHeight="1">
      <c r="A24" s="1" t="s">
        <v>206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6.5" customHeight="1">
      <c r="A25" s="2" t="s">
        <v>213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6.5" customHeight="1">
      <c r="A26" s="2" t="s">
        <v>215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6.5" customHeight="1">
      <c r="A27" s="2" t="s">
        <v>214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6.5" customHeight="1">
      <c r="A28" s="1" t="s">
        <v>207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6.5" customHeight="1"/>
    <row r="30" ht="16.5" customHeight="1">
      <c r="A30" s="7" t="s">
        <v>109</v>
      </c>
    </row>
    <row r="31" spans="1:12" ht="16.5" customHeight="1">
      <c r="A31" s="30" t="s">
        <v>110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6.5" customHeight="1">
      <c r="A32" s="30" t="s">
        <v>111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6.5" customHeight="1">
      <c r="A33" s="30" t="s">
        <v>112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6.5" customHeight="1">
      <c r="A34" s="30" t="s">
        <v>905</v>
      </c>
      <c r="B34" s="28">
        <f>SUM(B31:B33)</f>
        <v>0</v>
      </c>
      <c r="C34" s="28">
        <f aca="true" t="shared" si="3" ref="C34:J34">SUM(C31:C33)</f>
        <v>0</v>
      </c>
      <c r="D34" s="28">
        <f t="shared" si="3"/>
        <v>0</v>
      </c>
      <c r="E34" s="28">
        <f t="shared" si="3"/>
        <v>0</v>
      </c>
      <c r="F34" s="28">
        <f>SUM(F31:F33)</f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>SUM(K31:K33)</f>
        <v>0</v>
      </c>
      <c r="L34" s="28">
        <f>SUM(L31:L33)</f>
        <v>0</v>
      </c>
    </row>
    <row r="35" ht="16.5" customHeight="1"/>
    <row r="36" spans="1:12" ht="16.5" customHeight="1">
      <c r="A36" s="11" t="s">
        <v>175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6.5" customHeight="1">
      <c r="A37" s="11" t="s">
        <v>113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6.5" customHeight="1">
      <c r="A38" s="11" t="s">
        <v>170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6.5" customHeight="1">
      <c r="A39" s="11" t="s">
        <v>176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6.5" customHeight="1">
      <c r="A40" s="11" t="s">
        <v>177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6.5" customHeight="1">
      <c r="A41" s="11" t="s">
        <v>171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ht="16.5" customHeight="1"/>
    <row r="43" ht="16.5" customHeight="1">
      <c r="A43" s="7" t="s">
        <v>3</v>
      </c>
    </row>
    <row r="44" spans="1:12" ht="16.5" customHeight="1">
      <c r="A44" s="11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6.5" customHeight="1">
      <c r="A45" s="11" t="s">
        <v>117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6.5" customHeight="1">
      <c r="A46" s="11" t="s">
        <v>25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6.5" customHeight="1">
      <c r="A47" s="11" t="s">
        <v>118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6.5" customHeight="1">
      <c r="A48" s="11" t="s">
        <v>119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6.5" customHeight="1">
      <c r="A49" s="11" t="s">
        <v>120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6.5" customHeight="1">
      <c r="A50" s="11" t="s">
        <v>121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6.5" customHeight="1">
      <c r="A51" s="11" t="s">
        <v>122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6.5" customHeight="1">
      <c r="A52" s="11" t="s">
        <v>123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6.5" customHeight="1">
      <c r="A53" s="11" t="s">
        <v>114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6.5" customHeight="1">
      <c r="A54" s="11" t="s">
        <v>115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6.5" customHeight="1">
      <c r="A55" s="32" t="s">
        <v>116</v>
      </c>
      <c r="B55" s="29">
        <f>+ST1C08-SUM(B44:B54)</f>
        <v>0</v>
      </c>
      <c r="C55" s="29">
        <f>+ST1C09-SUM(C44:C54)</f>
        <v>0</v>
      </c>
      <c r="D55" s="29">
        <f>+ST1C10-SUM(D44:D54)</f>
        <v>0</v>
      </c>
      <c r="E55" s="29">
        <f>+ST1C11-SUM(E44:E54)</f>
        <v>0</v>
      </c>
      <c r="F55" s="29">
        <f>+ST1C12-SUM(F44:F54)</f>
        <v>0</v>
      </c>
      <c r="G55" s="29">
        <f>+ST1P13-SUM(G44:G54)</f>
        <v>0</v>
      </c>
      <c r="H55" s="29">
        <f>+ST1A13-SUM(H44:H54)</f>
        <v>0</v>
      </c>
      <c r="I55" s="29">
        <f>+ST1C13-SUM(I44:I54)</f>
        <v>0</v>
      </c>
      <c r="J55" s="29">
        <f>+ST1P14-SUM(J44:J54)</f>
        <v>0</v>
      </c>
      <c r="K55" s="29">
        <f>+ST1P15-SUM(K44:K54)</f>
        <v>0</v>
      </c>
      <c r="L55" s="29">
        <f>+ST1P16-SUM(L44:L54)</f>
        <v>0</v>
      </c>
    </row>
    <row r="56" ht="16.5" customHeight="1">
      <c r="A56" s="6"/>
    </row>
    <row r="57" ht="16.5" customHeight="1">
      <c r="A57" s="6"/>
    </row>
    <row r="58" ht="16.5" customHeight="1">
      <c r="A58" s="33" t="s">
        <v>124</v>
      </c>
    </row>
    <row r="59" spans="1:12" ht="16.5" customHeight="1">
      <c r="A59" s="11" t="s">
        <v>24</v>
      </c>
      <c r="B59" s="28">
        <f>+I1C08</f>
        <v>0</v>
      </c>
      <c r="C59" s="28">
        <f>+I1C09</f>
        <v>0</v>
      </c>
      <c r="D59" s="28">
        <f>+I1C10</f>
        <v>0</v>
      </c>
      <c r="E59" s="28">
        <f>+I1C11</f>
        <v>0</v>
      </c>
      <c r="F59" s="28">
        <f>+I1C12</f>
        <v>0</v>
      </c>
      <c r="G59" s="28">
        <f>+I1P13</f>
        <v>0</v>
      </c>
      <c r="H59" s="28">
        <f>+I1A13</f>
        <v>0</v>
      </c>
      <c r="I59" s="28">
        <f>+I1C13</f>
        <v>0</v>
      </c>
      <c r="J59" s="28">
        <f>+I1P14</f>
        <v>0</v>
      </c>
      <c r="K59" s="28">
        <f>+I1P15</f>
        <v>0</v>
      </c>
      <c r="L59" s="28">
        <f>+I1P16</f>
        <v>0</v>
      </c>
    </row>
    <row r="60" spans="1:12" ht="16.5" customHeight="1">
      <c r="A60" s="11" t="s">
        <v>25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6.5" customHeight="1">
      <c r="A61" s="11" t="s">
        <v>125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6.5" customHeight="1">
      <c r="A62" s="11" t="s">
        <v>126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6.5" customHeight="1">
      <c r="A63" s="1" t="s">
        <v>127</v>
      </c>
      <c r="B63" s="29">
        <f>SUM(B59:B62)</f>
        <v>0</v>
      </c>
      <c r="C63" s="29">
        <f aca="true" t="shared" si="4" ref="C63:K63">SUM(C59:C62)</f>
        <v>0</v>
      </c>
      <c r="D63" s="29">
        <f t="shared" si="4"/>
        <v>0</v>
      </c>
      <c r="E63" s="29">
        <f t="shared" si="4"/>
        <v>0</v>
      </c>
      <c r="F63" s="29">
        <f t="shared" si="4"/>
        <v>0</v>
      </c>
      <c r="G63" s="29">
        <f t="shared" si="4"/>
        <v>0</v>
      </c>
      <c r="H63" s="29">
        <f t="shared" si="4"/>
        <v>0</v>
      </c>
      <c r="I63" s="29">
        <f t="shared" si="4"/>
        <v>0</v>
      </c>
      <c r="J63" s="29">
        <f t="shared" si="4"/>
        <v>0</v>
      </c>
      <c r="K63" s="29">
        <f t="shared" si="4"/>
        <v>0</v>
      </c>
      <c r="L63" s="29">
        <f>SUM(L59:L62)</f>
        <v>0</v>
      </c>
    </row>
    <row r="64" spans="1:12" ht="16.5" customHeight="1">
      <c r="A64" s="11" t="s">
        <v>975</v>
      </c>
      <c r="B64" s="28"/>
      <c r="C64" s="28"/>
      <c r="D64" s="28"/>
      <c r="E64" s="28"/>
      <c r="F64" s="28"/>
      <c r="G64" s="2"/>
      <c r="H64" s="2"/>
      <c r="I64" s="2"/>
      <c r="J64" s="28"/>
      <c r="K64" s="28"/>
      <c r="L64" s="28"/>
    </row>
    <row r="65" spans="1:12" ht="16.5" customHeight="1">
      <c r="A65" s="7" t="s">
        <v>692</v>
      </c>
      <c r="B65" s="29">
        <f>+B63-B64</f>
        <v>0</v>
      </c>
      <c r="C65" s="29">
        <f aca="true" t="shared" si="5" ref="C65:K65">+C63-C64</f>
        <v>0</v>
      </c>
      <c r="D65" s="29">
        <f t="shared" si="5"/>
        <v>0</v>
      </c>
      <c r="E65" s="29">
        <f t="shared" si="5"/>
        <v>0</v>
      </c>
      <c r="F65" s="29">
        <f t="shared" si="5"/>
        <v>0</v>
      </c>
      <c r="G65" s="29">
        <f t="shared" si="5"/>
        <v>0</v>
      </c>
      <c r="H65" s="29">
        <f t="shared" si="5"/>
        <v>0</v>
      </c>
      <c r="I65" s="29">
        <f t="shared" si="5"/>
        <v>0</v>
      </c>
      <c r="J65" s="29">
        <f t="shared" si="5"/>
        <v>0</v>
      </c>
      <c r="K65" s="29">
        <f t="shared" si="5"/>
        <v>0</v>
      </c>
      <c r="L65" s="29">
        <f>+L63-L64</f>
        <v>0</v>
      </c>
    </row>
    <row r="66" spans="1:12" ht="16.5" customHeight="1">
      <c r="A66" s="11" t="s">
        <v>129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6.5" customHeight="1">
      <c r="A67" s="11" t="s">
        <v>130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6.5" customHeight="1">
      <c r="A68" s="1" t="s">
        <v>131</v>
      </c>
      <c r="B68" s="29">
        <f aca="true" t="shared" si="6" ref="B68:J68">SUM(B66:B67)</f>
        <v>0</v>
      </c>
      <c r="C68" s="29">
        <f t="shared" si="6"/>
        <v>0</v>
      </c>
      <c r="D68" s="29">
        <f t="shared" si="6"/>
        <v>0</v>
      </c>
      <c r="E68" s="29">
        <f t="shared" si="6"/>
        <v>0</v>
      </c>
      <c r="F68" s="29">
        <f>SUM(F66:F67)</f>
        <v>0</v>
      </c>
      <c r="G68" s="29">
        <f t="shared" si="6"/>
        <v>0</v>
      </c>
      <c r="H68" s="29">
        <f t="shared" si="6"/>
        <v>0</v>
      </c>
      <c r="I68" s="29">
        <f t="shared" si="6"/>
        <v>0</v>
      </c>
      <c r="J68" s="29">
        <f t="shared" si="6"/>
        <v>0</v>
      </c>
      <c r="K68" s="29">
        <f>SUM(K66:K67)</f>
        <v>0</v>
      </c>
      <c r="L68" s="29">
        <f>SUM(L66:L67)</f>
        <v>0</v>
      </c>
    </row>
    <row r="69" ht="16.5" customHeight="1"/>
    <row r="70" spans="1:12" ht="16.5" customHeight="1">
      <c r="A70" s="30" t="s">
        <v>132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6.5" customHeight="1">
      <c r="A71" s="30" t="s">
        <v>128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ht="16.5" customHeight="1"/>
    <row r="73" spans="1:2" ht="16.5" customHeight="1">
      <c r="A73" s="11" t="s">
        <v>173</v>
      </c>
      <c r="B73" s="2"/>
    </row>
    <row r="74" spans="1:2" ht="16.5" customHeight="1">
      <c r="A74" s="11" t="s">
        <v>174</v>
      </c>
      <c r="B74" s="2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</sheetData>
  <sheetProtection/>
  <hyperlinks>
    <hyperlink ref="A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7">
      <selection activeCell="G1" sqref="G1:K16384"/>
    </sheetView>
  </sheetViews>
  <sheetFormatPr defaultColWidth="9.140625" defaultRowHeight="12.75" outlineLevelRow="1" outlineLevelCol="1"/>
  <cols>
    <col min="1" max="6" width="14.7109375" style="21" customWidth="1"/>
    <col min="7" max="7" width="33.00390625" style="21" hidden="1" customWidth="1" outlineLevel="1"/>
    <col min="8" max="9" width="15.7109375" style="21" hidden="1" customWidth="1" outlineLevel="1"/>
    <col min="10" max="10" width="18.140625" style="21" hidden="1" customWidth="1" outlineLevel="1"/>
    <col min="11" max="11" width="0" style="21" hidden="1" customWidth="1" outlineLevel="1"/>
    <col min="12" max="12" width="9.140625" style="21" customWidth="1" collapsed="1"/>
    <col min="13" max="16384" width="9.140625" style="21" customWidth="1"/>
  </cols>
  <sheetData>
    <row r="1" spans="1:7" ht="15.75">
      <c r="A1" s="100" t="s">
        <v>4</v>
      </c>
      <c r="F1" s="555" t="s">
        <v>624</v>
      </c>
      <c r="G1" s="100" t="s">
        <v>307</v>
      </c>
    </row>
    <row r="2" spans="5:10" ht="12.75" customHeight="1">
      <c r="E2" s="855"/>
      <c r="F2" s="748" t="s">
        <v>777</v>
      </c>
      <c r="J2" s="855"/>
    </row>
    <row r="3" spans="1:10" ht="15" hidden="1" outlineLevel="1">
      <c r="A3" s="297" t="s">
        <v>308</v>
      </c>
      <c r="B3" s="297" t="s">
        <v>308</v>
      </c>
      <c r="C3" s="297" t="s">
        <v>309</v>
      </c>
      <c r="D3" s="1172" t="s">
        <v>310</v>
      </c>
      <c r="E3" s="1172"/>
      <c r="G3" s="298" t="s">
        <v>311</v>
      </c>
      <c r="H3" s="299"/>
      <c r="I3" s="299"/>
      <c r="J3" s="778"/>
    </row>
    <row r="4" spans="1:10" ht="15" hidden="1" outlineLevel="1">
      <c r="A4" s="300" t="s">
        <v>312</v>
      </c>
      <c r="B4" s="300" t="s">
        <v>313</v>
      </c>
      <c r="C4" s="300" t="s">
        <v>314</v>
      </c>
      <c r="D4" s="1172"/>
      <c r="E4" s="1172"/>
      <c r="G4" s="301" t="s">
        <v>315</v>
      </c>
      <c r="H4" s="200"/>
      <c r="I4" s="208"/>
      <c r="J4" s="201"/>
    </row>
    <row r="5" spans="1:10" ht="15" hidden="1" outlineLevel="1">
      <c r="A5" s="922">
        <v>2013</v>
      </c>
      <c r="B5" s="922">
        <v>2013</v>
      </c>
      <c r="C5" s="922">
        <v>2013</v>
      </c>
      <c r="D5" s="302" t="s">
        <v>316</v>
      </c>
      <c r="E5" s="302" t="s">
        <v>317</v>
      </c>
      <c r="G5" s="301" t="s">
        <v>17</v>
      </c>
      <c r="H5" s="203"/>
      <c r="I5" s="208"/>
      <c r="J5" s="201"/>
    </row>
    <row r="6" spans="1:10" ht="15" hidden="1" outlineLevel="1">
      <c r="A6" s="274">
        <f>+ST2P13</f>
        <v>0</v>
      </c>
      <c r="B6" s="274">
        <f>+ST2A13</f>
        <v>0</v>
      </c>
      <c r="C6" s="274">
        <f>+ST2C13</f>
        <v>0</v>
      </c>
      <c r="D6" s="274">
        <f>+ST2C13-ST2A13</f>
        <v>0</v>
      </c>
      <c r="E6" s="487" t="e">
        <f>+D6/ST2A13</f>
        <v>#DIV/0!</v>
      </c>
      <c r="G6" s="301" t="s">
        <v>18</v>
      </c>
      <c r="H6" s="203"/>
      <c r="I6" s="208"/>
      <c r="J6" s="201"/>
    </row>
    <row r="7" spans="7:10" ht="15" collapsed="1">
      <c r="G7" s="301" t="s">
        <v>19</v>
      </c>
      <c r="H7" s="203"/>
      <c r="I7" s="208"/>
      <c r="J7" s="201"/>
    </row>
    <row r="8" spans="1:10" ht="15">
      <c r="A8" s="1067" t="s">
        <v>717</v>
      </c>
      <c r="B8" s="62"/>
      <c r="C8" s="62"/>
      <c r="D8" s="62"/>
      <c r="E8" s="62"/>
      <c r="G8" s="304" t="s">
        <v>854</v>
      </c>
      <c r="H8" s="305"/>
      <c r="I8" s="306">
        <f>SUM(H4:H7)</f>
        <v>0</v>
      </c>
      <c r="J8" s="201"/>
    </row>
    <row r="9" spans="1:10" ht="15">
      <c r="A9" s="62"/>
      <c r="B9" s="62"/>
      <c r="C9" s="62"/>
      <c r="D9" s="62"/>
      <c r="E9" s="1068" t="str">
        <f>"Tab. 35 - "&amp;Comune</f>
        <v>Tab. 35 - </v>
      </c>
      <c r="G9" s="301"/>
      <c r="H9" s="208"/>
      <c r="I9" s="208"/>
      <c r="J9" s="201"/>
    </row>
    <row r="10" spans="1:10" ht="15">
      <c r="A10" s="1069"/>
      <c r="B10" s="1070"/>
      <c r="C10" s="1070"/>
      <c r="D10" s="1071"/>
      <c r="E10" s="1072" t="s">
        <v>27</v>
      </c>
      <c r="G10" s="207" t="s">
        <v>318</v>
      </c>
      <c r="H10" s="208"/>
      <c r="I10" s="208"/>
      <c r="J10" s="201"/>
    </row>
    <row r="11" spans="1:10" ht="15">
      <c r="A11" s="1069" t="s">
        <v>707</v>
      </c>
      <c r="B11" s="1070"/>
      <c r="C11" s="1070"/>
      <c r="D11" s="1071"/>
      <c r="E11" s="1073"/>
      <c r="G11" s="301" t="s">
        <v>319</v>
      </c>
      <c r="H11" s="200"/>
      <c r="I11" s="208"/>
      <c r="J11" s="201"/>
    </row>
    <row r="12" spans="1:10" ht="15">
      <c r="A12" s="1069" t="s">
        <v>708</v>
      </c>
      <c r="B12" s="1070"/>
      <c r="C12" s="1070"/>
      <c r="D12" s="1071"/>
      <c r="E12" s="1073"/>
      <c r="G12" s="301" t="s">
        <v>141</v>
      </c>
      <c r="H12" s="203"/>
      <c r="I12" s="208"/>
      <c r="J12" s="201"/>
    </row>
    <row r="13" spans="1:10" ht="15">
      <c r="A13" s="1069" t="s">
        <v>709</v>
      </c>
      <c r="B13" s="1070"/>
      <c r="C13" s="1070"/>
      <c r="D13" s="1071"/>
      <c r="E13" s="1073"/>
      <c r="G13" s="301" t="s">
        <v>142</v>
      </c>
      <c r="H13" s="203"/>
      <c r="I13" s="208"/>
      <c r="J13" s="201"/>
    </row>
    <row r="14" spans="1:10" ht="15">
      <c r="A14" s="1069" t="s">
        <v>710</v>
      </c>
      <c r="B14" s="1070"/>
      <c r="C14" s="1070"/>
      <c r="D14" s="1071"/>
      <c r="E14" s="1073"/>
      <c r="G14" s="301" t="s">
        <v>20</v>
      </c>
      <c r="H14" s="203"/>
      <c r="I14" s="208"/>
      <c r="J14" s="201"/>
    </row>
    <row r="15" spans="1:10" ht="15">
      <c r="A15" s="1069" t="s">
        <v>711</v>
      </c>
      <c r="B15" s="1070"/>
      <c r="C15" s="1070"/>
      <c r="D15" s="1071"/>
      <c r="E15" s="1073"/>
      <c r="G15" s="301" t="s">
        <v>21</v>
      </c>
      <c r="H15" s="203"/>
      <c r="I15" s="208"/>
      <c r="J15" s="201"/>
    </row>
    <row r="16" spans="1:10" ht="15">
      <c r="A16" s="1069" t="s">
        <v>712</v>
      </c>
      <c r="B16" s="1070"/>
      <c r="C16" s="1070"/>
      <c r="D16" s="1071"/>
      <c r="E16" s="1073"/>
      <c r="G16" s="301" t="s">
        <v>320</v>
      </c>
      <c r="H16" s="203"/>
      <c r="I16" s="208"/>
      <c r="J16" s="201"/>
    </row>
    <row r="17" spans="1:10" ht="15">
      <c r="A17" s="1069" t="s">
        <v>713</v>
      </c>
      <c r="B17" s="1070"/>
      <c r="C17" s="1070"/>
      <c r="D17" s="1071"/>
      <c r="E17" s="1073"/>
      <c r="G17" s="301" t="s">
        <v>22</v>
      </c>
      <c r="H17" s="307"/>
      <c r="I17" s="208"/>
      <c r="J17" s="201"/>
    </row>
    <row r="18" spans="1:10" ht="15">
      <c r="A18" s="1069" t="s">
        <v>714</v>
      </c>
      <c r="B18" s="1070"/>
      <c r="C18" s="1070"/>
      <c r="D18" s="1071"/>
      <c r="E18" s="1073"/>
      <c r="G18" s="304" t="s">
        <v>854</v>
      </c>
      <c r="H18" s="308"/>
      <c r="I18" s="306">
        <f>SUM(H11:H17)</f>
        <v>0</v>
      </c>
      <c r="J18" s="201"/>
    </row>
    <row r="19" spans="1:10" ht="15">
      <c r="A19" s="1069" t="s">
        <v>715</v>
      </c>
      <c r="B19" s="1070"/>
      <c r="C19" s="1070"/>
      <c r="D19" s="1071"/>
      <c r="E19" s="1073"/>
      <c r="G19" s="301"/>
      <c r="H19" s="208"/>
      <c r="I19" s="208"/>
      <c r="J19" s="201"/>
    </row>
    <row r="20" spans="1:10" ht="15">
      <c r="A20" s="1069" t="s">
        <v>716</v>
      </c>
      <c r="B20" s="1070"/>
      <c r="C20" s="1070"/>
      <c r="D20" s="1071"/>
      <c r="E20" s="1073"/>
      <c r="G20" s="204" t="s">
        <v>321</v>
      </c>
      <c r="H20" s="208"/>
      <c r="I20" s="208"/>
      <c r="J20" s="309">
        <f>SUM(I8:I18)</f>
        <v>0</v>
      </c>
    </row>
    <row r="21" spans="1:10" ht="15">
      <c r="A21" s="1173" t="s">
        <v>46</v>
      </c>
      <c r="B21" s="1174"/>
      <c r="C21" s="1174"/>
      <c r="D21" s="1175"/>
      <c r="E21" s="1074">
        <f>SUM(E11:E20)</f>
        <v>0</v>
      </c>
      <c r="G21" s="207"/>
      <c r="H21" s="208"/>
      <c r="I21" s="208"/>
      <c r="J21" s="201"/>
    </row>
    <row r="22" spans="1:10" ht="15">
      <c r="A22" s="62"/>
      <c r="B22" s="62"/>
      <c r="C22" s="62"/>
      <c r="D22" s="62"/>
      <c r="E22" s="62"/>
      <c r="G22" s="207" t="s">
        <v>322</v>
      </c>
      <c r="H22" s="208"/>
      <c r="I22" s="208"/>
      <c r="J22" s="310">
        <f>+ST2C13</f>
        <v>0</v>
      </c>
    </row>
    <row r="23" spans="1:10" ht="15">
      <c r="A23" s="459" t="s">
        <v>523</v>
      </c>
      <c r="B23" s="460"/>
      <c r="C23" s="460"/>
      <c r="D23" s="461"/>
      <c r="G23" s="311"/>
      <c r="H23" s="312"/>
      <c r="I23" s="312"/>
      <c r="J23" s="313"/>
    </row>
    <row r="24" spans="1:5" ht="15">
      <c r="A24" s="1067" t="s">
        <v>723</v>
      </c>
      <c r="B24" s="62"/>
      <c r="C24" s="62"/>
      <c r="D24" s="62"/>
      <c r="E24" s="62"/>
    </row>
    <row r="25" spans="1:10" ht="15">
      <c r="A25" s="62"/>
      <c r="B25" s="62"/>
      <c r="C25" s="62"/>
      <c r="D25" s="62"/>
      <c r="E25" s="1068" t="str">
        <f>"Tab. 36 - "&amp;Comune</f>
        <v>Tab. 36 - </v>
      </c>
      <c r="G25" s="459" t="s">
        <v>976</v>
      </c>
      <c r="H25" s="460"/>
      <c r="I25" s="460"/>
      <c r="J25" s="928">
        <f>+EQCA13+ST2C13</f>
        <v>0</v>
      </c>
    </row>
    <row r="26" spans="1:5" ht="15">
      <c r="A26" s="1069"/>
      <c r="B26" s="1070"/>
      <c r="C26" s="1070"/>
      <c r="D26" s="1071"/>
      <c r="E26" s="1072" t="s">
        <v>27</v>
      </c>
    </row>
    <row r="27" spans="1:10" ht="15">
      <c r="A27" s="1069" t="s">
        <v>718</v>
      </c>
      <c r="B27" s="1070"/>
      <c r="C27" s="1070"/>
      <c r="D27" s="1071"/>
      <c r="E27" s="1075"/>
      <c r="J27" s="184"/>
    </row>
    <row r="28" spans="1:5" ht="15">
      <c r="A28" s="1069" t="s">
        <v>719</v>
      </c>
      <c r="B28" s="1070"/>
      <c r="C28" s="1070"/>
      <c r="D28" s="1071"/>
      <c r="E28" s="1075"/>
    </row>
    <row r="29" spans="1:5" ht="15">
      <c r="A29" s="1069" t="s">
        <v>720</v>
      </c>
      <c r="B29" s="1070"/>
      <c r="C29" s="1070"/>
      <c r="D29" s="1071"/>
      <c r="E29" s="1075"/>
    </row>
    <row r="30" spans="1:5" ht="15">
      <c r="A30" s="1069" t="s">
        <v>721</v>
      </c>
      <c r="B30" s="1070"/>
      <c r="C30" s="1070"/>
      <c r="D30" s="1071"/>
      <c r="E30" s="1075"/>
    </row>
    <row r="31" spans="1:5" ht="15">
      <c r="A31" s="1069" t="s">
        <v>722</v>
      </c>
      <c r="B31" s="1070"/>
      <c r="C31" s="1070"/>
      <c r="D31" s="1071"/>
      <c r="E31" s="1075"/>
    </row>
    <row r="32" spans="1:5" ht="15">
      <c r="A32" s="1173" t="s">
        <v>46</v>
      </c>
      <c r="B32" s="1174"/>
      <c r="C32" s="1174"/>
      <c r="D32" s="1175"/>
      <c r="E32" s="1074">
        <f>SUM(E27:E31)</f>
        <v>0</v>
      </c>
    </row>
  </sheetData>
  <sheetProtection/>
  <mergeCells count="3">
    <mergeCell ref="D3:E4"/>
    <mergeCell ref="A21:D21"/>
    <mergeCell ref="A32:D32"/>
  </mergeCells>
  <hyperlinks>
    <hyperlink ref="F1" location="'Inserimento dati'!A1" display="InsDati"/>
    <hyperlink ref="F2" location="'Vai A'!A1" display="Vai a …"/>
    <hyperlink ref="G25" location="EQCA13" display="CONTROLLO RISORSE CON EQUILIBRIO CAPITAL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4.140625" style="0" customWidth="1"/>
    <col min="3" max="3" width="9.421875" style="0" bestFit="1" customWidth="1"/>
    <col min="4" max="5" width="16.421875" style="0" customWidth="1"/>
    <col min="6" max="6" width="14.57421875" style="0" customWidth="1"/>
  </cols>
  <sheetData>
    <row r="1" spans="1:8" ht="12.75">
      <c r="A1" s="3" t="s">
        <v>555</v>
      </c>
      <c r="H1" s="684" t="s">
        <v>624</v>
      </c>
    </row>
    <row r="2" spans="1:8" ht="12.75">
      <c r="A2" s="5"/>
      <c r="E2" s="1068" t="str">
        <f>"Tab. 37 - "&amp;Comune</f>
        <v>Tab. 37 - </v>
      </c>
      <c r="H2" s="748" t="s">
        <v>777</v>
      </c>
    </row>
    <row r="3" spans="1:5" ht="25.5">
      <c r="A3" s="10" t="s">
        <v>72</v>
      </c>
      <c r="B3" s="10" t="s">
        <v>1089</v>
      </c>
      <c r="C3" s="10" t="s">
        <v>1090</v>
      </c>
      <c r="D3" s="10" t="s">
        <v>69</v>
      </c>
      <c r="E3" s="10" t="s">
        <v>1091</v>
      </c>
    </row>
    <row r="4" spans="1:5" ht="16.5" customHeight="1">
      <c r="A4" s="10"/>
      <c r="B4" s="66"/>
      <c r="C4" s="70"/>
      <c r="D4" s="69"/>
      <c r="E4" s="69"/>
    </row>
    <row r="5" spans="1:5" ht="16.5" customHeight="1">
      <c r="A5" s="10"/>
      <c r="B5" s="66"/>
      <c r="C5" s="70"/>
      <c r="D5" s="69"/>
      <c r="E5" s="69"/>
    </row>
    <row r="6" spans="1:5" ht="16.5" customHeight="1">
      <c r="A6" s="10"/>
      <c r="B6" s="66"/>
      <c r="C6" s="70"/>
      <c r="D6" s="69"/>
      <c r="E6" s="69"/>
    </row>
    <row r="7" spans="1:5" ht="16.5" customHeight="1">
      <c r="A7" s="10"/>
      <c r="B7" s="66"/>
      <c r="C7" s="70"/>
      <c r="D7" s="69"/>
      <c r="E7" s="69"/>
    </row>
    <row r="8" spans="1:5" ht="16.5" customHeight="1">
      <c r="A8" s="10"/>
      <c r="B8" s="66"/>
      <c r="C8" s="70"/>
      <c r="D8" s="69"/>
      <c r="E8" s="69"/>
    </row>
    <row r="9" spans="1:5" ht="16.5" customHeight="1">
      <c r="A9" s="10"/>
      <c r="B9" s="66"/>
      <c r="C9" s="70"/>
      <c r="D9" s="69"/>
      <c r="E9" s="69"/>
    </row>
    <row r="10" spans="1:5" ht="16.5" customHeight="1">
      <c r="A10" s="10"/>
      <c r="B10" s="66"/>
      <c r="C10" s="70"/>
      <c r="D10" s="69"/>
      <c r="E10" s="69"/>
    </row>
    <row r="12" ht="12.75">
      <c r="A12" s="7" t="s">
        <v>1092</v>
      </c>
    </row>
    <row r="13" spans="1:5" ht="12.75">
      <c r="A13" s="5"/>
      <c r="E13" s="1068" t="str">
        <f>"Tab. 44 - "&amp;Comune</f>
        <v>Tab. 44 - </v>
      </c>
    </row>
    <row r="14" spans="1:5" ht="25.5">
      <c r="A14" s="10" t="s">
        <v>72</v>
      </c>
      <c r="B14" s="10" t="s">
        <v>1089</v>
      </c>
      <c r="C14" s="10" t="s">
        <v>1090</v>
      </c>
      <c r="D14" s="10" t="s">
        <v>69</v>
      </c>
      <c r="E14" s="10" t="s">
        <v>1091</v>
      </c>
    </row>
    <row r="15" spans="1:5" ht="15">
      <c r="A15" s="10"/>
      <c r="B15" s="66"/>
      <c r="C15" s="70"/>
      <c r="D15" s="69"/>
      <c r="E15" s="69"/>
    </row>
    <row r="16" spans="1:5" ht="15">
      <c r="A16" s="10"/>
      <c r="B16" s="66"/>
      <c r="C16" s="70"/>
      <c r="D16" s="69"/>
      <c r="E16" s="69"/>
    </row>
    <row r="17" spans="1:5" ht="15">
      <c r="A17" s="10"/>
      <c r="B17" s="66"/>
      <c r="C17" s="70"/>
      <c r="D17" s="69"/>
      <c r="E17" s="69"/>
    </row>
    <row r="18" spans="1:5" ht="15">
      <c r="A18" s="10"/>
      <c r="B18" s="66"/>
      <c r="C18" s="70"/>
      <c r="D18" s="69"/>
      <c r="E18" s="69"/>
    </row>
    <row r="19" spans="1:5" ht="15">
      <c r="A19" s="10"/>
      <c r="B19" s="66"/>
      <c r="C19" s="70"/>
      <c r="D19" s="69"/>
      <c r="E19" s="69"/>
    </row>
    <row r="20" spans="1:5" ht="15">
      <c r="A20" s="10"/>
      <c r="B20" s="66"/>
      <c r="C20" s="70"/>
      <c r="D20" s="69"/>
      <c r="E20" s="69"/>
    </row>
    <row r="21" spans="1:5" ht="15">
      <c r="A21" s="10"/>
      <c r="B21" s="66"/>
      <c r="C21" s="70"/>
      <c r="D21" s="69"/>
      <c r="E21" s="69"/>
    </row>
  </sheetData>
  <sheetProtection/>
  <hyperlinks>
    <hyperlink ref="H1" location="'Inserimento dati'!A1" display="InsDati"/>
    <hyperlink ref="H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4.57421875" style="21" customWidth="1"/>
    <col min="2" max="5" width="12.7109375" style="21" customWidth="1"/>
    <col min="6" max="16384" width="9.140625" style="21" customWidth="1"/>
  </cols>
  <sheetData>
    <row r="1" spans="1:7" ht="15.75">
      <c r="A1" s="100" t="s">
        <v>798</v>
      </c>
      <c r="G1" s="555" t="s">
        <v>624</v>
      </c>
    </row>
    <row r="2" spans="5:7" ht="15">
      <c r="E2" s="855" t="str">
        <f>"Tab. 38 - Comune di "&amp;Comune</f>
        <v>Tab. 38 - Comune di </v>
      </c>
      <c r="G2" s="748" t="s">
        <v>777</v>
      </c>
    </row>
    <row r="3" spans="1:5" ht="15">
      <c r="A3" s="1176" t="s">
        <v>977</v>
      </c>
      <c r="B3" s="1177" t="s">
        <v>323</v>
      </c>
      <c r="C3" s="1177"/>
      <c r="D3" s="1177" t="s">
        <v>324</v>
      </c>
      <c r="E3" s="1177"/>
    </row>
    <row r="4" spans="1:5" ht="15">
      <c r="A4" s="1176"/>
      <c r="B4" s="222">
        <v>2012</v>
      </c>
      <c r="C4" s="222">
        <f>+B4+1</f>
        <v>2013</v>
      </c>
      <c r="D4" s="222">
        <f>+B4</f>
        <v>2012</v>
      </c>
      <c r="E4" s="222">
        <f>+D4+1</f>
        <v>2013</v>
      </c>
    </row>
    <row r="5" spans="1:5" ht="25.5">
      <c r="A5" s="315" t="s">
        <v>800</v>
      </c>
      <c r="B5" s="779"/>
      <c r="C5" s="779"/>
      <c r="D5" s="779"/>
      <c r="E5" s="779"/>
    </row>
    <row r="6" spans="1:5" ht="15">
      <c r="A6" s="315" t="s">
        <v>325</v>
      </c>
      <c r="B6" s="779"/>
      <c r="C6" s="779"/>
      <c r="D6" s="779"/>
      <c r="E6" s="779"/>
    </row>
    <row r="7" spans="1:5" ht="15">
      <c r="A7" s="315" t="s">
        <v>326</v>
      </c>
      <c r="B7" s="779"/>
      <c r="C7" s="779"/>
      <c r="D7" s="779"/>
      <c r="E7" s="779"/>
    </row>
    <row r="8" spans="1:5" ht="15">
      <c r="A8" s="315" t="s">
        <v>327</v>
      </c>
      <c r="B8" s="779"/>
      <c r="C8" s="779"/>
      <c r="D8" s="779"/>
      <c r="E8" s="779"/>
    </row>
    <row r="9" spans="1:5" ht="15">
      <c r="A9" s="315" t="s">
        <v>329</v>
      </c>
      <c r="B9" s="779"/>
      <c r="C9" s="779"/>
      <c r="D9" s="779"/>
      <c r="E9" s="779"/>
    </row>
    <row r="10" spans="1:5" ht="15">
      <c r="A10" s="315" t="s">
        <v>330</v>
      </c>
      <c r="B10" s="779"/>
      <c r="C10" s="779"/>
      <c r="D10" s="779"/>
      <c r="E10" s="779"/>
    </row>
    <row r="11" spans="1:5" ht="15">
      <c r="A11" s="315" t="s">
        <v>328</v>
      </c>
      <c r="B11" s="779"/>
      <c r="C11" s="779"/>
      <c r="D11" s="779"/>
      <c r="E11" s="779"/>
    </row>
    <row r="12" spans="1:5" ht="15">
      <c r="A12" s="316" t="s">
        <v>279</v>
      </c>
      <c r="B12" s="780">
        <f>SUM(B5:B11)</f>
        <v>0</v>
      </c>
      <c r="C12" s="780">
        <f>SUM(C5:C11)</f>
        <v>0</v>
      </c>
      <c r="D12" s="780">
        <f>SUM(D5:D11)</f>
        <v>0</v>
      </c>
      <c r="E12" s="780">
        <f>SUM(E5:E11)</f>
        <v>0</v>
      </c>
    </row>
    <row r="14" spans="1:5" ht="15">
      <c r="A14" s="473" t="s">
        <v>203</v>
      </c>
      <c r="B14" s="474">
        <f>+B12-ET6C12</f>
        <v>0</v>
      </c>
      <c r="C14" s="474">
        <f>+C12-ET6C13</f>
        <v>0</v>
      </c>
      <c r="D14" s="474">
        <f>+D12-ST4C12</f>
        <v>0</v>
      </c>
      <c r="E14" s="474">
        <f>+E12-ST4C13</f>
        <v>0</v>
      </c>
    </row>
    <row r="16" ht="15">
      <c r="A16" s="488" t="s">
        <v>799</v>
      </c>
    </row>
    <row r="17" ht="15">
      <c r="E17" s="855" t="str">
        <f>"Tab. 39 - Comune di "&amp;Comune</f>
        <v>Tab. 39 - Comune di </v>
      </c>
    </row>
    <row r="18" spans="1:5" ht="15">
      <c r="A18" s="1176" t="s">
        <v>978</v>
      </c>
      <c r="B18" s="1177" t="s">
        <v>323</v>
      </c>
      <c r="C18" s="1177"/>
      <c r="D18" s="1177" t="s">
        <v>324</v>
      </c>
      <c r="E18" s="1177"/>
    </row>
    <row r="19" spans="1:5" ht="15">
      <c r="A19" s="1176"/>
      <c r="B19" s="222">
        <v>2012</v>
      </c>
      <c r="C19" s="222">
        <f>+B19+1</f>
        <v>2013</v>
      </c>
      <c r="D19" s="222">
        <f>+B19</f>
        <v>2012</v>
      </c>
      <c r="E19" s="222">
        <f>+D19+1</f>
        <v>2013</v>
      </c>
    </row>
    <row r="20" spans="1:5" ht="25.5">
      <c r="A20" s="315" t="s">
        <v>800</v>
      </c>
      <c r="B20" s="779"/>
      <c r="C20" s="779"/>
      <c r="D20" s="779"/>
      <c r="E20" s="779"/>
    </row>
    <row r="21" spans="1:5" ht="15">
      <c r="A21" s="315" t="s">
        <v>325</v>
      </c>
      <c r="B21" s="779"/>
      <c r="C21" s="779"/>
      <c r="D21" s="779"/>
      <c r="E21" s="779"/>
    </row>
    <row r="22" spans="1:5" ht="15">
      <c r="A22" s="315" t="s">
        <v>326</v>
      </c>
      <c r="B22" s="779"/>
      <c r="C22" s="779"/>
      <c r="D22" s="779"/>
      <c r="E22" s="779"/>
    </row>
    <row r="23" spans="1:5" ht="15">
      <c r="A23" s="315" t="s">
        <v>327</v>
      </c>
      <c r="B23" s="779"/>
      <c r="C23" s="779"/>
      <c r="D23" s="779"/>
      <c r="E23" s="779"/>
    </row>
    <row r="24" spans="1:5" ht="15">
      <c r="A24" s="315" t="s">
        <v>329</v>
      </c>
      <c r="B24" s="779"/>
      <c r="C24" s="779"/>
      <c r="D24" s="779"/>
      <c r="E24" s="779"/>
    </row>
    <row r="25" spans="1:5" ht="15">
      <c r="A25" s="315" t="s">
        <v>330</v>
      </c>
      <c r="B25" s="779"/>
      <c r="C25" s="779"/>
      <c r="D25" s="779"/>
      <c r="E25" s="779"/>
    </row>
    <row r="26" spans="1:5" ht="15">
      <c r="A26" s="315" t="s">
        <v>328</v>
      </c>
      <c r="B26" s="779"/>
      <c r="C26" s="779"/>
      <c r="D26" s="779"/>
      <c r="E26" s="779"/>
    </row>
    <row r="27" spans="1:5" ht="15">
      <c r="A27" s="316" t="s">
        <v>279</v>
      </c>
      <c r="B27" s="780">
        <f>SUM(B20:B26)</f>
        <v>0</v>
      </c>
      <c r="C27" s="780">
        <f>SUM(C20:C26)</f>
        <v>0</v>
      </c>
      <c r="D27" s="780">
        <f>SUM(D20:D26)</f>
        <v>0</v>
      </c>
      <c r="E27" s="780">
        <f>SUM(E20:E26)</f>
        <v>0</v>
      </c>
    </row>
    <row r="30" spans="1:4" ht="15">
      <c r="A30" s="459" t="s">
        <v>523</v>
      </c>
      <c r="B30" s="460"/>
      <c r="C30" s="460"/>
      <c r="D30" s="461"/>
    </row>
  </sheetData>
  <sheetProtection/>
  <mergeCells count="6">
    <mergeCell ref="A3:A4"/>
    <mergeCell ref="B3:C3"/>
    <mergeCell ref="D3:E3"/>
    <mergeCell ref="A18:A19"/>
    <mergeCell ref="B18:C18"/>
    <mergeCell ref="D18:E18"/>
  </mergeCell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579" customWidth="1"/>
    <col min="2" max="3" width="6.421875" style="579" bestFit="1" customWidth="1"/>
    <col min="4" max="4" width="15.7109375" style="579" customWidth="1"/>
    <col min="5" max="6" width="9.140625" style="579" customWidth="1"/>
    <col min="7" max="7" width="21.00390625" style="579" bestFit="1" customWidth="1"/>
    <col min="8" max="16384" width="9.140625" style="579" customWidth="1"/>
  </cols>
  <sheetData>
    <row r="1" ht="12.75">
      <c r="F1" s="555" t="s">
        <v>624</v>
      </c>
    </row>
    <row r="2" ht="12.75">
      <c r="F2" s="748" t="s">
        <v>777</v>
      </c>
    </row>
    <row r="3" ht="12.75">
      <c r="D3" s="1068" t="str">
        <f>"Tab. 38 - "&amp;Comune</f>
        <v>Tab. 38 - </v>
      </c>
    </row>
    <row r="4" spans="1:4" ht="16.5" customHeight="1">
      <c r="A4" s="643" t="s">
        <v>724</v>
      </c>
      <c r="B4" s="644"/>
      <c r="C4" s="644"/>
      <c r="D4" s="645"/>
    </row>
    <row r="5" spans="1:4" ht="16.5" customHeight="1">
      <c r="A5" s="646" t="s">
        <v>733</v>
      </c>
      <c r="B5" s="647"/>
      <c r="C5" s="648" t="s">
        <v>70</v>
      </c>
      <c r="D5" s="649">
        <f>ECO11</f>
        <v>0</v>
      </c>
    </row>
    <row r="6" spans="1:4" ht="16.5" customHeight="1">
      <c r="A6" s="650" t="s">
        <v>725</v>
      </c>
      <c r="B6" s="651">
        <v>0.08</v>
      </c>
      <c r="C6" s="652" t="s">
        <v>70</v>
      </c>
      <c r="D6" s="653">
        <f>+ROUND(D5*B6,2)</f>
        <v>0</v>
      </c>
    </row>
    <row r="7" spans="1:4" ht="3" customHeight="1">
      <c r="A7" s="654"/>
      <c r="B7" s="655"/>
      <c r="C7" s="656"/>
      <c r="D7" s="657"/>
    </row>
    <row r="8" spans="1:4" ht="16.5" customHeight="1">
      <c r="A8" s="646" t="s">
        <v>726</v>
      </c>
      <c r="B8" s="647"/>
      <c r="C8" s="648" t="s">
        <v>70</v>
      </c>
      <c r="D8" s="658">
        <f>+I6P14</f>
        <v>0</v>
      </c>
    </row>
    <row r="9" spans="1:4" ht="16.5" customHeight="1">
      <c r="A9" s="650" t="s">
        <v>727</v>
      </c>
      <c r="B9" s="659"/>
      <c r="C9" s="652" t="s">
        <v>71</v>
      </c>
      <c r="D9" s="660">
        <f>IF(D8=0,"",SUM(D8/D5))</f>
      </c>
    </row>
    <row r="10" spans="1:4" ht="3" customHeight="1">
      <c r="A10" s="661"/>
      <c r="B10" s="662"/>
      <c r="C10" s="663"/>
      <c r="D10" s="664"/>
    </row>
    <row r="11" spans="1:4" ht="16.5" customHeight="1">
      <c r="A11" s="646" t="s">
        <v>728</v>
      </c>
      <c r="B11" s="665"/>
      <c r="C11" s="666" t="s">
        <v>70</v>
      </c>
      <c r="D11" s="667">
        <f>SUM(D6-D8)</f>
        <v>0</v>
      </c>
    </row>
    <row r="12" spans="1:4" ht="3" customHeight="1">
      <c r="A12" s="668"/>
      <c r="B12" s="669"/>
      <c r="C12" s="670"/>
      <c r="D12" s="671"/>
    </row>
    <row r="14" spans="1:2" ht="12.75">
      <c r="A14" s="672" t="s">
        <v>729</v>
      </c>
      <c r="B14" s="672"/>
    </row>
    <row r="15" ht="12.75">
      <c r="D15" s="1068" t="str">
        <f>"Tab. 42 - "&amp;Comune</f>
        <v>Tab. 42 - </v>
      </c>
    </row>
    <row r="16" spans="1:4" ht="16.5" customHeight="1">
      <c r="A16" s="646" t="s">
        <v>730</v>
      </c>
      <c r="B16" s="647"/>
      <c r="C16" s="648" t="s">
        <v>70</v>
      </c>
      <c r="D16" s="649">
        <f>ECOP14</f>
        <v>0</v>
      </c>
    </row>
    <row r="17" spans="1:7" ht="16.5" customHeight="1">
      <c r="A17" s="673" t="s">
        <v>731</v>
      </c>
      <c r="B17" s="674"/>
      <c r="C17" s="652" t="s">
        <v>70</v>
      </c>
      <c r="D17" s="675">
        <v>0</v>
      </c>
      <c r="G17" s="579">
        <f>5/12</f>
        <v>0.4166666666666667</v>
      </c>
    </row>
    <row r="18" spans="1:4" ht="16.5" customHeight="1" thickBot="1">
      <c r="A18" s="676" t="s">
        <v>732</v>
      </c>
      <c r="B18" s="677"/>
      <c r="C18" s="678"/>
      <c r="D18" s="679" t="e">
        <f>+ROUND(D17/D16,4)</f>
        <v>#DIV/0!</v>
      </c>
    </row>
    <row r="19" spans="1:4" ht="3" customHeight="1" thickTop="1">
      <c r="A19" s="668"/>
      <c r="B19" s="669"/>
      <c r="C19" s="670"/>
      <c r="D19" s="671"/>
    </row>
    <row r="23" ht="6" customHeight="1"/>
    <row r="32" ht="4.5" customHeight="1"/>
    <row r="39" ht="5.25" customHeight="1"/>
  </sheetData>
  <sheetProtection/>
  <hyperlinks>
    <hyperlink ref="F1" location="'Inserimento dati'!A1" display="InsDati"/>
    <hyperlink ref="F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2">
      <selection activeCell="H23" sqref="H23"/>
    </sheetView>
  </sheetViews>
  <sheetFormatPr defaultColWidth="9.140625" defaultRowHeight="12.75" outlineLevelRow="1"/>
  <cols>
    <col min="1" max="1" width="26.140625" style="212" customWidth="1"/>
    <col min="2" max="7" width="10.7109375" style="687" customWidth="1"/>
    <col min="8" max="9" width="16.140625" style="212" customWidth="1"/>
    <col min="10" max="16384" width="9.140625" style="212" customWidth="1"/>
  </cols>
  <sheetData>
    <row r="1" spans="1:14" ht="14.25">
      <c r="A1" s="273" t="s">
        <v>332</v>
      </c>
      <c r="H1" s="685" t="s">
        <v>523</v>
      </c>
      <c r="I1" s="690"/>
      <c r="J1" s="690"/>
      <c r="K1" s="929"/>
      <c r="M1" s="684" t="s">
        <v>624</v>
      </c>
      <c r="N1" s="748" t="s">
        <v>777</v>
      </c>
    </row>
    <row r="2" ht="14.25">
      <c r="D2" s="855" t="str">
        <f>"Tab. 40 - Comune di "&amp;Comune</f>
        <v>Tab. 40 - Comune di </v>
      </c>
    </row>
    <row r="3" spans="1:4" ht="14.25">
      <c r="A3" s="1178" t="s">
        <v>979</v>
      </c>
      <c r="B3" s="222">
        <f>+B8</f>
        <v>2011</v>
      </c>
      <c r="C3" s="688">
        <f>+C8</f>
        <v>2012</v>
      </c>
      <c r="D3" s="688">
        <f>+D8</f>
        <v>2013</v>
      </c>
    </row>
    <row r="4" spans="1:4" ht="14.25">
      <c r="A4" s="1179"/>
      <c r="B4" s="303">
        <v>0</v>
      </c>
      <c r="C4" s="689">
        <v>0</v>
      </c>
      <c r="D4" s="689">
        <v>0</v>
      </c>
    </row>
    <row r="6" ht="14.25">
      <c r="A6" s="273" t="s">
        <v>331</v>
      </c>
    </row>
    <row r="7" spans="4:7" ht="14.25">
      <c r="D7" s="855"/>
      <c r="G7" s="1068" t="str">
        <f>"Tab. 40 - "&amp;Comune</f>
        <v>Tab. 40 - </v>
      </c>
    </row>
    <row r="8" spans="1:7" ht="15">
      <c r="A8" s="317" t="s">
        <v>146</v>
      </c>
      <c r="B8" s="683">
        <v>2011</v>
      </c>
      <c r="C8" s="683">
        <f>+B8+1</f>
        <v>2012</v>
      </c>
      <c r="D8" s="683">
        <f>+C8+1</f>
        <v>2013</v>
      </c>
      <c r="E8" s="683">
        <f>+D8+1</f>
        <v>2014</v>
      </c>
      <c r="F8" s="683">
        <f>+E8+1</f>
        <v>2015</v>
      </c>
      <c r="G8" s="683">
        <f>+F8+1</f>
        <v>2016</v>
      </c>
    </row>
    <row r="9" spans="1:7" ht="14.25">
      <c r="A9" s="681" t="s">
        <v>337</v>
      </c>
      <c r="B9" s="691"/>
      <c r="C9" s="691"/>
      <c r="D9" s="691"/>
      <c r="E9" s="691"/>
      <c r="F9" s="691"/>
      <c r="G9" s="691"/>
    </row>
    <row r="10" spans="1:7" ht="14.25">
      <c r="A10" s="681" t="s">
        <v>338</v>
      </c>
      <c r="B10" s="691"/>
      <c r="C10" s="691"/>
      <c r="D10" s="691"/>
      <c r="E10" s="691"/>
      <c r="F10" s="691"/>
      <c r="G10" s="691"/>
    </row>
    <row r="11" spans="1:7" ht="14.25">
      <c r="A11" s="681" t="s">
        <v>339</v>
      </c>
      <c r="B11" s="691">
        <f>-RP11</f>
        <v>0</v>
      </c>
      <c r="C11" s="691">
        <f>-RP12</f>
        <v>0</v>
      </c>
      <c r="D11" s="691">
        <f>-RP13</f>
        <v>0</v>
      </c>
      <c r="E11" s="691">
        <f>-RPP14</f>
        <v>0</v>
      </c>
      <c r="F11" s="691">
        <f>-RPP15</f>
        <v>0</v>
      </c>
      <c r="G11" s="691">
        <f>-RPP16</f>
        <v>0</v>
      </c>
    </row>
    <row r="12" spans="1:7" ht="14.25">
      <c r="A12" s="681" t="s">
        <v>340</v>
      </c>
      <c r="B12" s="691"/>
      <c r="C12" s="691"/>
      <c r="D12" s="691"/>
      <c r="E12" s="691"/>
      <c r="F12" s="691"/>
      <c r="G12" s="691"/>
    </row>
    <row r="13" spans="1:7" ht="14.25">
      <c r="A13" s="682" t="s">
        <v>741</v>
      </c>
      <c r="B13" s="691"/>
      <c r="C13" s="691"/>
      <c r="D13" s="691"/>
      <c r="E13" s="691"/>
      <c r="F13" s="691"/>
      <c r="G13" s="691"/>
    </row>
    <row r="14" spans="1:7" ht="14.25">
      <c r="A14" s="683" t="s">
        <v>333</v>
      </c>
      <c r="B14" s="692">
        <f aca="true" t="shared" si="0" ref="B14:G14">SUM(B9:B13)</f>
        <v>0</v>
      </c>
      <c r="C14" s="692">
        <f t="shared" si="0"/>
        <v>0</v>
      </c>
      <c r="D14" s="692">
        <f t="shared" si="0"/>
        <v>0</v>
      </c>
      <c r="E14" s="692">
        <f t="shared" si="0"/>
        <v>0</v>
      </c>
      <c r="F14" s="692">
        <f t="shared" si="0"/>
        <v>0</v>
      </c>
      <c r="G14" s="692">
        <f t="shared" si="0"/>
        <v>0</v>
      </c>
    </row>
    <row r="15" spans="1:7" ht="14.25">
      <c r="A15" s="681" t="s">
        <v>739</v>
      </c>
      <c r="B15" s="691"/>
      <c r="C15" s="691"/>
      <c r="D15" s="691"/>
      <c r="E15" s="691"/>
      <c r="F15" s="691"/>
      <c r="G15" s="691"/>
    </row>
    <row r="16" spans="1:7" ht="14.25">
      <c r="A16" s="681" t="s">
        <v>740</v>
      </c>
      <c r="B16" s="691"/>
      <c r="C16" s="691"/>
      <c r="D16" s="691"/>
      <c r="E16" s="691"/>
      <c r="F16" s="691"/>
      <c r="G16" s="691"/>
    </row>
    <row r="18" ht="14.25">
      <c r="A18" s="273" t="s">
        <v>334</v>
      </c>
    </row>
    <row r="19" spans="4:7" ht="14.25">
      <c r="D19" s="855"/>
      <c r="G19" s="1068" t="str">
        <f>"Tab. 41 - "&amp;Comune</f>
        <v>Tab. 41 - </v>
      </c>
    </row>
    <row r="20" spans="1:7" ht="15">
      <c r="A20" s="317" t="s">
        <v>146</v>
      </c>
      <c r="B20" s="680">
        <f aca="true" t="shared" si="1" ref="B20:G20">+B8</f>
        <v>2011</v>
      </c>
      <c r="C20" s="680">
        <f t="shared" si="1"/>
        <v>2012</v>
      </c>
      <c r="D20" s="680">
        <f t="shared" si="1"/>
        <v>2013</v>
      </c>
      <c r="E20" s="680">
        <f t="shared" si="1"/>
        <v>2014</v>
      </c>
      <c r="F20" s="680">
        <f t="shared" si="1"/>
        <v>2015</v>
      </c>
      <c r="G20" s="680">
        <f t="shared" si="1"/>
        <v>2016</v>
      </c>
    </row>
    <row r="21" spans="1:7" ht="14.25">
      <c r="A21" s="166" t="s">
        <v>335</v>
      </c>
      <c r="B21" s="691">
        <f>+I6C11</f>
        <v>0</v>
      </c>
      <c r="C21" s="691">
        <f>+I6C12</f>
        <v>0</v>
      </c>
      <c r="D21" s="691">
        <f>+I6C13</f>
        <v>0</v>
      </c>
      <c r="E21" s="691">
        <f>+I6P14</f>
        <v>0</v>
      </c>
      <c r="F21" s="691">
        <f>+I6P15</f>
        <v>0</v>
      </c>
      <c r="G21" s="691">
        <f>+I6P16</f>
        <v>0</v>
      </c>
    </row>
    <row r="22" spans="1:7" ht="14.25">
      <c r="A22" s="166" t="s">
        <v>336</v>
      </c>
      <c r="B22" s="691">
        <f>+RP11</f>
        <v>0</v>
      </c>
      <c r="C22" s="691">
        <f>+RP12</f>
        <v>0</v>
      </c>
      <c r="D22" s="691">
        <f>+RP13</f>
        <v>0</v>
      </c>
      <c r="E22" s="691">
        <f>+RPP14</f>
        <v>0</v>
      </c>
      <c r="F22" s="691">
        <f>+RPP15</f>
        <v>0</v>
      </c>
      <c r="G22" s="691">
        <f>+RPP16</f>
        <v>0</v>
      </c>
    </row>
    <row r="23" spans="1:7" ht="14.25">
      <c r="A23" s="165" t="s">
        <v>333</v>
      </c>
      <c r="B23" s="686">
        <f aca="true" t="shared" si="2" ref="B23:G23">B21+B22</f>
        <v>0</v>
      </c>
      <c r="C23" s="686">
        <f t="shared" si="2"/>
        <v>0</v>
      </c>
      <c r="D23" s="686">
        <f t="shared" si="2"/>
        <v>0</v>
      </c>
      <c r="E23" s="686">
        <f t="shared" si="2"/>
        <v>0</v>
      </c>
      <c r="F23" s="686">
        <f t="shared" si="2"/>
        <v>0</v>
      </c>
      <c r="G23" s="686">
        <f t="shared" si="2"/>
        <v>0</v>
      </c>
    </row>
    <row r="25" spans="1:4" ht="15" hidden="1" outlineLevel="1">
      <c r="A25" s="846" t="s">
        <v>562</v>
      </c>
      <c r="B25" s="847"/>
      <c r="C25" s="847"/>
      <c r="D25" s="847"/>
    </row>
    <row r="26" spans="1:4" ht="14.25" hidden="1" outlineLevel="1">
      <c r="A26" s="848"/>
      <c r="B26" s="847"/>
      <c r="C26" s="847"/>
      <c r="D26" s="847"/>
    </row>
    <row r="27" spans="1:4" ht="14.25" hidden="1" outlineLevel="1">
      <c r="A27" s="849" t="s">
        <v>563</v>
      </c>
      <c r="B27" s="850"/>
      <c r="C27" s="851"/>
      <c r="D27" s="852">
        <f>+D9</f>
        <v>0</v>
      </c>
    </row>
    <row r="28" spans="1:4" ht="14.25" hidden="1" outlineLevel="1">
      <c r="A28" s="849" t="s">
        <v>335</v>
      </c>
      <c r="B28" s="850"/>
      <c r="C28" s="851"/>
      <c r="D28" s="852">
        <f>+D21</f>
        <v>0</v>
      </c>
    </row>
    <row r="29" spans="1:4" ht="14.25" hidden="1" outlineLevel="1">
      <c r="A29" s="853" t="s">
        <v>564</v>
      </c>
      <c r="B29" s="850"/>
      <c r="C29" s="851"/>
      <c r="D29" s="854" t="e">
        <f>+ROUND(D28/D27,4)</f>
        <v>#DIV/0!</v>
      </c>
    </row>
    <row r="30" ht="14.25" hidden="1" outlineLevel="1">
      <c r="A30" s="53"/>
    </row>
    <row r="31" spans="1:4" ht="15" collapsed="1">
      <c r="A31" s="1076" t="s">
        <v>738</v>
      </c>
      <c r="B31" s="1077"/>
      <c r="C31" s="1077"/>
      <c r="D31" s="1077"/>
    </row>
    <row r="32" spans="1:4" ht="14.25">
      <c r="A32" s="1078"/>
      <c r="B32" s="1077"/>
      <c r="C32" s="1077"/>
      <c r="D32" s="1068" t="str">
        <f>"Tab. 39 - "&amp;Comune</f>
        <v>Tab. 39 - </v>
      </c>
    </row>
    <row r="33" spans="1:4" ht="14.25">
      <c r="A33" s="1079" t="s">
        <v>601</v>
      </c>
      <c r="B33" s="1080">
        <v>2014</v>
      </c>
      <c r="C33" s="1080">
        <f>+B33+1</f>
        <v>2015</v>
      </c>
      <c r="D33" s="1080">
        <f>+C33+1</f>
        <v>2016</v>
      </c>
    </row>
    <row r="34" spans="1:4" ht="14.25">
      <c r="A34" s="1079" t="s">
        <v>734</v>
      </c>
      <c r="B34" s="1081">
        <f>+I6P14</f>
        <v>0</v>
      </c>
      <c r="C34" s="1081">
        <f>+I6P15</f>
        <v>0</v>
      </c>
      <c r="D34" s="1081">
        <f>+I6P16</f>
        <v>0</v>
      </c>
    </row>
    <row r="35" spans="1:4" ht="14.25">
      <c r="A35" s="1079" t="s">
        <v>737</v>
      </c>
      <c r="B35" s="1081">
        <f>+ECOP14</f>
        <v>0</v>
      </c>
      <c r="C35" s="1081">
        <f>+ECOP15</f>
        <v>0</v>
      </c>
      <c r="D35" s="1081">
        <f>+ECOP16</f>
        <v>0</v>
      </c>
    </row>
    <row r="36" spans="1:4" ht="14.25">
      <c r="A36" s="1079" t="s">
        <v>735</v>
      </c>
      <c r="B36" s="1082" t="e">
        <f>+ROUND(B34/B35,4)</f>
        <v>#DIV/0!</v>
      </c>
      <c r="C36" s="1082" t="e">
        <f>+ROUND(C34/C35,4)</f>
        <v>#DIV/0!</v>
      </c>
      <c r="D36" s="1082" t="e">
        <f>+ROUND(D34/D35,4)</f>
        <v>#DIV/0!</v>
      </c>
    </row>
    <row r="37" spans="1:4" ht="14.25">
      <c r="A37" s="1083" t="s">
        <v>736</v>
      </c>
      <c r="B37" s="1082">
        <v>0.08</v>
      </c>
      <c r="C37" s="1082">
        <v>0.08</v>
      </c>
      <c r="D37" s="1082">
        <v>0.08</v>
      </c>
    </row>
  </sheetData>
  <sheetProtection/>
  <mergeCells count="1">
    <mergeCell ref="A3:A4"/>
  </mergeCells>
  <hyperlinks>
    <hyperlink ref="M1" location="'Inserimento dati'!A1" display="InsDati"/>
    <hyperlink ref="A37" r:id="rId1" display="http://www.normattiva.it/uri-res/N2Ls?urn:nir:stato:decreto.legislativo:2000-08-18;267~art204!vig="/>
    <hyperlink ref="N1" location="'Vai A'!A1" display="Vai a …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7.57421875" style="21" customWidth="1"/>
    <col min="2" max="4" width="15.140625" style="21" customWidth="1"/>
    <col min="5" max="6" width="15.140625" style="22" customWidth="1"/>
    <col min="7" max="10" width="9.140625" style="21" customWidth="1"/>
    <col min="11" max="11" width="23.421875" style="21" bestFit="1" customWidth="1"/>
    <col min="12" max="12" width="9.140625" style="21" customWidth="1"/>
    <col min="13" max="13" width="24.7109375" style="21" customWidth="1"/>
    <col min="14" max="16384" width="9.140625" style="21" customWidth="1"/>
  </cols>
  <sheetData>
    <row r="1" spans="1:13" ht="15.75">
      <c r="A1" s="60" t="s">
        <v>981</v>
      </c>
      <c r="B1" s="61"/>
      <c r="C1" s="62"/>
      <c r="D1" s="62"/>
      <c r="E1" s="63"/>
      <c r="H1" s="684" t="s">
        <v>624</v>
      </c>
      <c r="K1" s="57" t="s">
        <v>80</v>
      </c>
      <c r="M1" s="57" t="s">
        <v>161</v>
      </c>
    </row>
    <row r="2" spans="6:13" ht="15.75" thickBot="1">
      <c r="F2" s="1068" t="str">
        <f>"Tab. 43 - "&amp;Comune</f>
        <v>Tab. 43 - </v>
      </c>
      <c r="H2" s="748" t="s">
        <v>777</v>
      </c>
      <c r="K2" s="58" t="s">
        <v>81</v>
      </c>
      <c r="M2" s="64" t="s">
        <v>86</v>
      </c>
    </row>
    <row r="3" spans="1:11" ht="15" customHeight="1">
      <c r="A3" s="1180" t="s">
        <v>153</v>
      </c>
      <c r="B3" s="1182"/>
      <c r="C3" s="1180" t="s">
        <v>161</v>
      </c>
      <c r="D3" s="1181"/>
      <c r="E3" s="1181"/>
      <c r="F3" s="1182"/>
      <c r="K3" s="58" t="s">
        <v>82</v>
      </c>
    </row>
    <row r="4" spans="1:11" ht="15">
      <c r="A4" s="41" t="s">
        <v>146</v>
      </c>
      <c r="B4" s="41" t="s">
        <v>162</v>
      </c>
      <c r="C4" s="41" t="s">
        <v>163</v>
      </c>
      <c r="D4" s="41" t="s">
        <v>164</v>
      </c>
      <c r="E4" s="41" t="s">
        <v>166</v>
      </c>
      <c r="F4" s="41" t="s">
        <v>167</v>
      </c>
      <c r="K4" s="58" t="s">
        <v>83</v>
      </c>
    </row>
    <row r="5" spans="1:11" ht="21" customHeight="1">
      <c r="A5" s="65">
        <v>2014</v>
      </c>
      <c r="B5" s="25"/>
      <c r="C5" s="24" t="s">
        <v>80</v>
      </c>
      <c r="D5" s="25"/>
      <c r="E5" s="24" t="s">
        <v>80</v>
      </c>
      <c r="F5" s="24" t="s">
        <v>80</v>
      </c>
      <c r="K5" s="58" t="s">
        <v>84</v>
      </c>
    </row>
    <row r="6" ht="15">
      <c r="K6" s="58" t="s">
        <v>85</v>
      </c>
    </row>
    <row r="7" spans="1:11" ht="15.75" customHeight="1" thickBot="1">
      <c r="A7" s="1180" t="s">
        <v>153</v>
      </c>
      <c r="B7" s="1182"/>
      <c r="C7" s="1180" t="s">
        <v>86</v>
      </c>
      <c r="D7" s="1181"/>
      <c r="E7" s="1181"/>
      <c r="F7" s="1182"/>
      <c r="K7" s="59" t="s">
        <v>160</v>
      </c>
    </row>
    <row r="8" spans="1:6" ht="15" customHeight="1">
      <c r="A8" s="41" t="s">
        <v>146</v>
      </c>
      <c r="B8" s="41" t="s">
        <v>162</v>
      </c>
      <c r="C8" s="41" t="s">
        <v>163</v>
      </c>
      <c r="D8" s="41" t="s">
        <v>164</v>
      </c>
      <c r="E8" s="41" t="s">
        <v>165</v>
      </c>
      <c r="F8" s="41" t="s">
        <v>157</v>
      </c>
    </row>
    <row r="9" spans="1:6" ht="15">
      <c r="A9" s="65">
        <v>2014</v>
      </c>
      <c r="B9" s="25"/>
      <c r="C9" s="24" t="s">
        <v>80</v>
      </c>
      <c r="D9" s="25"/>
      <c r="E9" s="24" t="s">
        <v>80</v>
      </c>
      <c r="F9" s="24" t="s">
        <v>80</v>
      </c>
    </row>
    <row r="10" ht="21" customHeight="1"/>
    <row r="11" spans="1:4" ht="15">
      <c r="A11" s="685" t="s">
        <v>980</v>
      </c>
      <c r="B11" s="690"/>
      <c r="C11" s="690"/>
      <c r="D11" s="929"/>
    </row>
    <row r="12" ht="15" customHeight="1"/>
    <row r="15" spans="1:11" s="22" customFormat="1" ht="15">
      <c r="A15" s="21"/>
      <c r="B15" s="21"/>
      <c r="C15" s="21"/>
      <c r="D15" s="21"/>
      <c r="G15" s="21"/>
      <c r="H15" s="21"/>
      <c r="I15" s="21"/>
      <c r="J15" s="21"/>
      <c r="K15" s="21"/>
    </row>
    <row r="16" spans="1:11" s="22" customFormat="1" ht="15">
      <c r="A16" s="21"/>
      <c r="B16" s="21"/>
      <c r="C16" s="21"/>
      <c r="D16" s="21"/>
      <c r="G16" s="21"/>
      <c r="H16" s="21"/>
      <c r="I16" s="21"/>
      <c r="J16" s="21"/>
      <c r="K16" s="21"/>
    </row>
    <row r="17" spans="1:11" s="22" customFormat="1" ht="15">
      <c r="A17" s="21"/>
      <c r="B17" s="21"/>
      <c r="C17" s="21"/>
      <c r="D17" s="21"/>
      <c r="G17" s="21"/>
      <c r="H17" s="21"/>
      <c r="I17" s="21"/>
      <c r="J17" s="21"/>
      <c r="K17" s="21"/>
    </row>
    <row r="18" spans="1:11" s="22" customFormat="1" ht="15">
      <c r="A18" s="21"/>
      <c r="B18" s="21"/>
      <c r="C18" s="21"/>
      <c r="D18" s="21"/>
      <c r="G18" s="21"/>
      <c r="H18" s="21"/>
      <c r="I18" s="21"/>
      <c r="J18" s="21"/>
      <c r="K18" s="21"/>
    </row>
    <row r="19" spans="1:11" s="22" customFormat="1" ht="15">
      <c r="A19" s="21"/>
      <c r="B19" s="21"/>
      <c r="C19" s="21"/>
      <c r="D19" s="21"/>
      <c r="G19" s="21"/>
      <c r="H19" s="21"/>
      <c r="I19" s="21"/>
      <c r="J19" s="21"/>
      <c r="K19" s="21"/>
    </row>
    <row r="20" spans="1:11" s="22" customFormat="1" ht="15">
      <c r="A20" s="21"/>
      <c r="B20" s="21"/>
      <c r="C20" s="21"/>
      <c r="D20" s="21"/>
      <c r="G20" s="21"/>
      <c r="H20" s="21"/>
      <c r="I20" s="21"/>
      <c r="J20" s="21"/>
      <c r="K20" s="21"/>
    </row>
    <row r="21" spans="1:11" s="22" customFormat="1" ht="15">
      <c r="A21" s="21"/>
      <c r="B21" s="21"/>
      <c r="C21" s="21"/>
      <c r="D21" s="21"/>
      <c r="G21" s="21"/>
      <c r="H21" s="21"/>
      <c r="I21" s="21"/>
      <c r="J21" s="21"/>
      <c r="K21" s="21"/>
    </row>
    <row r="22" spans="1:11" s="22" customFormat="1" ht="15">
      <c r="A22" s="21"/>
      <c r="B22" s="21"/>
      <c r="C22" s="21"/>
      <c r="D22" s="21"/>
      <c r="G22" s="21"/>
      <c r="H22" s="21"/>
      <c r="I22" s="21"/>
      <c r="J22" s="21"/>
      <c r="K22" s="21"/>
    </row>
    <row r="23" spans="1:11" s="22" customFormat="1" ht="15">
      <c r="A23" s="21"/>
      <c r="B23" s="21"/>
      <c r="C23" s="21"/>
      <c r="D23" s="21"/>
      <c r="G23" s="21"/>
      <c r="H23" s="21"/>
      <c r="I23" s="21"/>
      <c r="J23" s="21"/>
      <c r="K23" s="21"/>
    </row>
    <row r="24" spans="1:11" s="22" customFormat="1" ht="15">
      <c r="A24" s="21"/>
      <c r="B24" s="21"/>
      <c r="C24" s="21"/>
      <c r="D24" s="21"/>
      <c r="G24" s="21"/>
      <c r="H24" s="21"/>
      <c r="I24" s="21"/>
      <c r="J24" s="21"/>
      <c r="K24" s="21"/>
    </row>
    <row r="25" spans="1:11" s="22" customFormat="1" ht="15">
      <c r="A25" s="21"/>
      <c r="B25" s="21"/>
      <c r="C25" s="21"/>
      <c r="D25" s="21"/>
      <c r="G25" s="21"/>
      <c r="H25" s="21"/>
      <c r="I25" s="21"/>
      <c r="J25" s="21"/>
      <c r="K25" s="21"/>
    </row>
  </sheetData>
  <sheetProtection/>
  <mergeCells count="4">
    <mergeCell ref="C3:F3"/>
    <mergeCell ref="A3:B3"/>
    <mergeCell ref="A7:B7"/>
    <mergeCell ref="C7:F7"/>
  </mergeCells>
  <dataValidations count="2">
    <dataValidation type="list" allowBlank="1" showInputMessage="1" showErrorMessage="1" sqref="C3 C7">
      <formula1>$M$1:$M$2</formula1>
    </dataValidation>
    <dataValidation type="list" allowBlank="1" showInputMessage="1" showErrorMessage="1" sqref="E9:F9 E5:F5 C5 C9">
      <formula1>$K$1:$K$7</formula1>
    </dataValidation>
  </dataValidation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F7" sqref="F7"/>
    </sheetView>
  </sheetViews>
  <sheetFormatPr defaultColWidth="9.140625" defaultRowHeight="12.75" outlineLevelCol="1"/>
  <cols>
    <col min="1" max="4" width="17.7109375" style="21" customWidth="1"/>
    <col min="5" max="5" width="17.7109375" style="22" customWidth="1"/>
    <col min="6" max="6" width="16.8515625" style="22" customWidth="1"/>
    <col min="7" max="7" width="9.140625" style="21" customWidth="1"/>
    <col min="8" max="10" width="0" style="21" hidden="1" customWidth="1" outlineLevel="1"/>
    <col min="11" max="11" width="23.421875" style="21" hidden="1" customWidth="1" outlineLevel="1"/>
    <col min="12" max="12" width="0" style="21" hidden="1" customWidth="1" outlineLevel="1"/>
    <col min="13" max="13" width="9.140625" style="21" customWidth="1" collapsed="1"/>
    <col min="14" max="16384" width="9.140625" style="21" customWidth="1"/>
  </cols>
  <sheetData>
    <row r="1" spans="1:11" ht="15.75">
      <c r="A1" s="40" t="s">
        <v>79</v>
      </c>
      <c r="B1" s="40"/>
      <c r="G1" s="684" t="s">
        <v>624</v>
      </c>
      <c r="K1" s="57" t="s">
        <v>80</v>
      </c>
    </row>
    <row r="2" spans="5:11" ht="15">
      <c r="E2" s="1068" t="str">
        <f>"Tab. 43 - "&amp;Comune</f>
        <v>Tab. 43 - </v>
      </c>
      <c r="G2" s="748" t="s">
        <v>777</v>
      </c>
      <c r="K2" s="58" t="s">
        <v>81</v>
      </c>
    </row>
    <row r="3" spans="1:11" ht="15" customHeight="1" thickBot="1">
      <c r="A3" s="23" t="s">
        <v>153</v>
      </c>
      <c r="B3" s="1183"/>
      <c r="C3" s="1183"/>
      <c r="D3" s="23" t="s">
        <v>154</v>
      </c>
      <c r="E3" s="46"/>
      <c r="K3" s="58" t="s">
        <v>82</v>
      </c>
    </row>
    <row r="4" spans="1:11" ht="15">
      <c r="A4" s="42" t="s">
        <v>155</v>
      </c>
      <c r="B4" s="43" t="s">
        <v>23</v>
      </c>
      <c r="C4" s="43" t="s">
        <v>156</v>
      </c>
      <c r="D4" s="44" t="s">
        <v>157</v>
      </c>
      <c r="E4" s="47" t="s">
        <v>158</v>
      </c>
      <c r="K4" s="58" t="s">
        <v>83</v>
      </c>
    </row>
    <row r="5" spans="1:11" ht="15">
      <c r="A5" s="51">
        <v>2012</v>
      </c>
      <c r="B5" s="25"/>
      <c r="C5" s="45" t="s">
        <v>84</v>
      </c>
      <c r="D5" s="45" t="s">
        <v>80</v>
      </c>
      <c r="E5" s="48"/>
      <c r="K5" s="58" t="s">
        <v>84</v>
      </c>
    </row>
    <row r="6" spans="1:11" ht="15">
      <c r="A6" s="51">
        <f>+A5+1</f>
        <v>2013</v>
      </c>
      <c r="B6" s="25"/>
      <c r="C6" s="45" t="s">
        <v>84</v>
      </c>
      <c r="D6" s="45" t="s">
        <v>80</v>
      </c>
      <c r="E6" s="48"/>
      <c r="K6" s="58" t="s">
        <v>85</v>
      </c>
    </row>
    <row r="7" spans="1:11" ht="15.75" thickBot="1">
      <c r="A7" s="51">
        <f>+A6+1</f>
        <v>2014</v>
      </c>
      <c r="B7" s="25"/>
      <c r="C7" s="45" t="s">
        <v>84</v>
      </c>
      <c r="D7" s="45" t="s">
        <v>80</v>
      </c>
      <c r="E7" s="48"/>
      <c r="K7" s="59" t="s">
        <v>160</v>
      </c>
    </row>
    <row r="8" spans="1:5" ht="15">
      <c r="A8" s="51">
        <f>+A7+1</f>
        <v>2015</v>
      </c>
      <c r="B8" s="25"/>
      <c r="C8" s="45" t="s">
        <v>84</v>
      </c>
      <c r="D8" s="45" t="s">
        <v>80</v>
      </c>
      <c r="E8" s="48"/>
    </row>
    <row r="9" spans="1:5" ht="15.75" thickBot="1">
      <c r="A9" s="51">
        <f>+A8+1</f>
        <v>2016</v>
      </c>
      <c r="B9" s="49"/>
      <c r="C9" s="45" t="s">
        <v>84</v>
      </c>
      <c r="D9" s="45" t="s">
        <v>80</v>
      </c>
      <c r="E9" s="50"/>
    </row>
    <row r="10" spans="1:5" ht="15.75" thickBot="1">
      <c r="A10" s="1184" t="s">
        <v>742</v>
      </c>
      <c r="B10" s="1185"/>
      <c r="C10" s="55"/>
      <c r="D10" s="52" t="s">
        <v>159</v>
      </c>
      <c r="E10" s="56"/>
    </row>
    <row r="11" spans="1:5" ht="15">
      <c r="A11" s="53"/>
      <c r="B11" s="53"/>
      <c r="C11" s="53"/>
      <c r="D11" s="53"/>
      <c r="E11" s="54"/>
    </row>
    <row r="12" spans="1:5" ht="15" customHeight="1">
      <c r="A12" s="53"/>
      <c r="B12" s="53"/>
      <c r="C12" s="53"/>
      <c r="D12" s="53"/>
      <c r="E12" s="54"/>
    </row>
    <row r="13" spans="1:5" ht="15.75" thickBot="1">
      <c r="A13" s="23" t="s">
        <v>153</v>
      </c>
      <c r="B13" s="1183"/>
      <c r="C13" s="1183"/>
      <c r="D13" s="23" t="s">
        <v>154</v>
      </c>
      <c r="E13" s="46"/>
    </row>
    <row r="14" spans="1:5" ht="15">
      <c r="A14" s="42" t="s">
        <v>155</v>
      </c>
      <c r="B14" s="43" t="s">
        <v>23</v>
      </c>
      <c r="C14" s="43" t="s">
        <v>156</v>
      </c>
      <c r="D14" s="44" t="s">
        <v>157</v>
      </c>
      <c r="E14" s="47" t="s">
        <v>158</v>
      </c>
    </row>
    <row r="15" spans="1:5" ht="15">
      <c r="A15" s="51">
        <v>2012</v>
      </c>
      <c r="B15" s="25"/>
      <c r="C15" s="45" t="s">
        <v>84</v>
      </c>
      <c r="D15" s="45" t="s">
        <v>80</v>
      </c>
      <c r="E15" s="48"/>
    </row>
    <row r="16" spans="1:5" ht="15">
      <c r="A16" s="51">
        <f>+A15+1</f>
        <v>2013</v>
      </c>
      <c r="B16" s="25"/>
      <c r="C16" s="45" t="s">
        <v>84</v>
      </c>
      <c r="D16" s="45" t="s">
        <v>80</v>
      </c>
      <c r="E16" s="48"/>
    </row>
    <row r="17" spans="1:5" ht="15">
      <c r="A17" s="51">
        <f>+A16+1</f>
        <v>2014</v>
      </c>
      <c r="B17" s="25"/>
      <c r="C17" s="45" t="s">
        <v>84</v>
      </c>
      <c r="D17" s="45" t="s">
        <v>80</v>
      </c>
      <c r="E17" s="48"/>
    </row>
    <row r="18" spans="1:5" ht="15">
      <c r="A18" s="51">
        <f>+A17+1</f>
        <v>2015</v>
      </c>
      <c r="B18" s="25"/>
      <c r="C18" s="45" t="s">
        <v>84</v>
      </c>
      <c r="D18" s="45" t="s">
        <v>80</v>
      </c>
      <c r="E18" s="48"/>
    </row>
    <row r="19" spans="1:5" ht="15.75" thickBot="1">
      <c r="A19" s="51">
        <f>+A18+1</f>
        <v>2016</v>
      </c>
      <c r="B19" s="49"/>
      <c r="C19" s="45" t="s">
        <v>84</v>
      </c>
      <c r="D19" s="45" t="s">
        <v>80</v>
      </c>
      <c r="E19" s="50"/>
    </row>
    <row r="20" spans="1:5" ht="15.75" thickBot="1">
      <c r="A20" s="1184" t="s">
        <v>742</v>
      </c>
      <c r="B20" s="1185"/>
      <c r="C20" s="55"/>
      <c r="D20" s="52" t="s">
        <v>159</v>
      </c>
      <c r="E20" s="56"/>
    </row>
    <row r="21" spans="1:5" ht="15">
      <c r="A21" s="53"/>
      <c r="B21" s="53"/>
      <c r="C21" s="53"/>
      <c r="D21" s="53"/>
      <c r="E21" s="54"/>
    </row>
    <row r="22" spans="1:5" ht="15">
      <c r="A22" s="53"/>
      <c r="B22" s="53"/>
      <c r="C22" s="53"/>
      <c r="D22" s="53"/>
      <c r="E22" s="54"/>
    </row>
    <row r="23" spans="1:5" ht="15.75" thickBot="1">
      <c r="A23" s="23" t="s">
        <v>153</v>
      </c>
      <c r="B23" s="1183"/>
      <c r="C23" s="1183"/>
      <c r="D23" s="23" t="s">
        <v>154</v>
      </c>
      <c r="E23" s="46"/>
    </row>
    <row r="24" spans="1:5" ht="15">
      <c r="A24" s="42" t="s">
        <v>155</v>
      </c>
      <c r="B24" s="43" t="s">
        <v>23</v>
      </c>
      <c r="C24" s="43" t="s">
        <v>156</v>
      </c>
      <c r="D24" s="44" t="s">
        <v>157</v>
      </c>
      <c r="E24" s="47" t="s">
        <v>158</v>
      </c>
    </row>
    <row r="25" spans="1:5" ht="15">
      <c r="A25" s="51">
        <v>2012</v>
      </c>
      <c r="B25" s="25"/>
      <c r="C25" s="45" t="s">
        <v>84</v>
      </c>
      <c r="D25" s="45" t="s">
        <v>80</v>
      </c>
      <c r="E25" s="48"/>
    </row>
    <row r="26" spans="1:5" ht="15">
      <c r="A26" s="51">
        <f>+A25+1</f>
        <v>2013</v>
      </c>
      <c r="B26" s="25"/>
      <c r="C26" s="45" t="s">
        <v>84</v>
      </c>
      <c r="D26" s="45" t="s">
        <v>80</v>
      </c>
      <c r="E26" s="48"/>
    </row>
    <row r="27" spans="1:5" ht="15">
      <c r="A27" s="51">
        <f>+A26+1</f>
        <v>2014</v>
      </c>
      <c r="B27" s="25"/>
      <c r="C27" s="45" t="s">
        <v>84</v>
      </c>
      <c r="D27" s="45" t="s">
        <v>80</v>
      </c>
      <c r="E27" s="48"/>
    </row>
    <row r="28" spans="1:5" ht="15">
      <c r="A28" s="51">
        <f>+A27+1</f>
        <v>2015</v>
      </c>
      <c r="B28" s="25"/>
      <c r="C28" s="45" t="s">
        <v>84</v>
      </c>
      <c r="D28" s="45" t="s">
        <v>80</v>
      </c>
      <c r="E28" s="48"/>
    </row>
    <row r="29" spans="1:5" ht="15.75" thickBot="1">
      <c r="A29" s="51">
        <f>+A28+1</f>
        <v>2016</v>
      </c>
      <c r="B29" s="49"/>
      <c r="C29" s="45" t="s">
        <v>84</v>
      </c>
      <c r="D29" s="45" t="s">
        <v>80</v>
      </c>
      <c r="E29" s="50"/>
    </row>
    <row r="30" spans="1:5" ht="15.75" thickBot="1">
      <c r="A30" s="1184" t="s">
        <v>742</v>
      </c>
      <c r="B30" s="1185"/>
      <c r="C30" s="55"/>
      <c r="D30" s="52" t="s">
        <v>159</v>
      </c>
      <c r="E30" s="56"/>
    </row>
    <row r="31" spans="1:5" ht="15">
      <c r="A31" s="53"/>
      <c r="B31" s="53"/>
      <c r="C31" s="53"/>
      <c r="D31" s="53"/>
      <c r="E31" s="54"/>
    </row>
    <row r="32" spans="1:5" ht="15">
      <c r="A32" s="53"/>
      <c r="B32" s="53"/>
      <c r="C32" s="53"/>
      <c r="D32" s="53"/>
      <c r="E32" s="54"/>
    </row>
    <row r="33" spans="1:5" ht="15.75" thickBot="1">
      <c r="A33" s="23" t="s">
        <v>153</v>
      </c>
      <c r="B33" s="1183"/>
      <c r="C33" s="1183"/>
      <c r="D33" s="23" t="s">
        <v>154</v>
      </c>
      <c r="E33" s="46"/>
    </row>
    <row r="34" spans="1:5" ht="15">
      <c r="A34" s="42" t="s">
        <v>155</v>
      </c>
      <c r="B34" s="43" t="s">
        <v>23</v>
      </c>
      <c r="C34" s="43" t="s">
        <v>156</v>
      </c>
      <c r="D34" s="44" t="s">
        <v>157</v>
      </c>
      <c r="E34" s="47" t="s">
        <v>158</v>
      </c>
    </row>
    <row r="35" spans="1:5" ht="15">
      <c r="A35" s="51">
        <v>2012</v>
      </c>
      <c r="B35" s="25"/>
      <c r="C35" s="45" t="s">
        <v>84</v>
      </c>
      <c r="D35" s="45" t="s">
        <v>80</v>
      </c>
      <c r="E35" s="48"/>
    </row>
    <row r="36" spans="1:5" ht="15">
      <c r="A36" s="51">
        <f>+A35+1</f>
        <v>2013</v>
      </c>
      <c r="B36" s="25"/>
      <c r="C36" s="45" t="s">
        <v>84</v>
      </c>
      <c r="D36" s="45" t="s">
        <v>80</v>
      </c>
      <c r="E36" s="48"/>
    </row>
    <row r="37" spans="1:5" ht="15">
      <c r="A37" s="51">
        <f>+A36+1</f>
        <v>2014</v>
      </c>
      <c r="B37" s="25"/>
      <c r="C37" s="45" t="s">
        <v>84</v>
      </c>
      <c r="D37" s="45" t="s">
        <v>80</v>
      </c>
      <c r="E37" s="48"/>
    </row>
    <row r="38" spans="1:5" ht="15">
      <c r="A38" s="51">
        <f>+A37+1</f>
        <v>2015</v>
      </c>
      <c r="B38" s="25"/>
      <c r="C38" s="45" t="s">
        <v>84</v>
      </c>
      <c r="D38" s="45" t="s">
        <v>80</v>
      </c>
      <c r="E38" s="48"/>
    </row>
    <row r="39" spans="1:5" ht="15.75" thickBot="1">
      <c r="A39" s="51">
        <f>+A38+1</f>
        <v>2016</v>
      </c>
      <c r="B39" s="49"/>
      <c r="C39" s="45" t="s">
        <v>84</v>
      </c>
      <c r="D39" s="45" t="s">
        <v>80</v>
      </c>
      <c r="E39" s="50"/>
    </row>
    <row r="40" spans="1:5" ht="15.75" thickBot="1">
      <c r="A40" s="1184" t="s">
        <v>742</v>
      </c>
      <c r="B40" s="1185"/>
      <c r="C40" s="55"/>
      <c r="D40" s="52" t="s">
        <v>159</v>
      </c>
      <c r="E40" s="56"/>
    </row>
    <row r="41" spans="1:5" ht="15">
      <c r="A41" s="53"/>
      <c r="B41" s="53"/>
      <c r="C41" s="53"/>
      <c r="D41" s="53"/>
      <c r="E41" s="54"/>
    </row>
    <row r="42" spans="1:5" ht="15">
      <c r="A42" s="53"/>
      <c r="B42" s="53"/>
      <c r="C42" s="53"/>
      <c r="D42" s="53"/>
      <c r="E42" s="54"/>
    </row>
    <row r="43" spans="1:5" ht="15.75" thickBot="1">
      <c r="A43" s="23" t="s">
        <v>153</v>
      </c>
      <c r="B43" s="1183"/>
      <c r="C43" s="1183"/>
      <c r="D43" s="23" t="s">
        <v>154</v>
      </c>
      <c r="E43" s="46"/>
    </row>
    <row r="44" spans="1:5" ht="15">
      <c r="A44" s="42" t="s">
        <v>155</v>
      </c>
      <c r="B44" s="43" t="s">
        <v>23</v>
      </c>
      <c r="C44" s="43" t="s">
        <v>156</v>
      </c>
      <c r="D44" s="44" t="s">
        <v>157</v>
      </c>
      <c r="E44" s="47" t="s">
        <v>158</v>
      </c>
    </row>
    <row r="45" spans="1:5" ht="15">
      <c r="A45" s="51">
        <v>2012</v>
      </c>
      <c r="B45" s="25"/>
      <c r="C45" s="45" t="s">
        <v>84</v>
      </c>
      <c r="D45" s="45" t="s">
        <v>80</v>
      </c>
      <c r="E45" s="48"/>
    </row>
    <row r="46" spans="1:5" ht="15">
      <c r="A46" s="51">
        <f>+A45+1</f>
        <v>2013</v>
      </c>
      <c r="B46" s="25"/>
      <c r="C46" s="45" t="s">
        <v>84</v>
      </c>
      <c r="D46" s="45" t="s">
        <v>80</v>
      </c>
      <c r="E46" s="48"/>
    </row>
    <row r="47" spans="1:5" ht="15">
      <c r="A47" s="51">
        <f>+A46+1</f>
        <v>2014</v>
      </c>
      <c r="B47" s="25"/>
      <c r="C47" s="45" t="s">
        <v>84</v>
      </c>
      <c r="D47" s="45" t="s">
        <v>80</v>
      </c>
      <c r="E47" s="48"/>
    </row>
    <row r="48" spans="1:5" ht="15">
      <c r="A48" s="51">
        <f>+A47+1</f>
        <v>2015</v>
      </c>
      <c r="B48" s="25"/>
      <c r="C48" s="45" t="s">
        <v>84</v>
      </c>
      <c r="D48" s="45" t="s">
        <v>80</v>
      </c>
      <c r="E48" s="48"/>
    </row>
    <row r="49" spans="1:5" ht="15.75" thickBot="1">
      <c r="A49" s="51">
        <f>+A48+1</f>
        <v>2016</v>
      </c>
      <c r="B49" s="49"/>
      <c r="C49" s="45" t="s">
        <v>84</v>
      </c>
      <c r="D49" s="45" t="s">
        <v>80</v>
      </c>
      <c r="E49" s="50"/>
    </row>
    <row r="50" spans="1:5" ht="15.75" thickBot="1">
      <c r="A50" s="1184" t="s">
        <v>742</v>
      </c>
      <c r="B50" s="1185"/>
      <c r="C50" s="55"/>
      <c r="D50" s="52" t="s">
        <v>159</v>
      </c>
      <c r="E50" s="56"/>
    </row>
  </sheetData>
  <sheetProtection/>
  <mergeCells count="10">
    <mergeCell ref="B33:C33"/>
    <mergeCell ref="A40:B40"/>
    <mergeCell ref="B43:C43"/>
    <mergeCell ref="A50:B50"/>
    <mergeCell ref="B3:C3"/>
    <mergeCell ref="A10:B10"/>
    <mergeCell ref="B13:C13"/>
    <mergeCell ref="A20:B20"/>
    <mergeCell ref="B23:C23"/>
    <mergeCell ref="A30:B30"/>
  </mergeCells>
  <dataValidations count="1">
    <dataValidation type="list" allowBlank="1" showInputMessage="1" showErrorMessage="1" sqref="C5:D9 C15:D19 C25:D29 C35:D39 C45:D49">
      <formula1>$K$1:$K$7</formula1>
    </dataValidation>
  </dataValidation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1.140625" style="21" customWidth="1"/>
    <col min="2" max="2" width="20.7109375" style="21" customWidth="1"/>
    <col min="3" max="16384" width="9.140625" style="21" customWidth="1"/>
  </cols>
  <sheetData>
    <row r="1" spans="1:5" ht="15">
      <c r="A1" s="7" t="s">
        <v>554</v>
      </c>
      <c r="B1" s="53"/>
      <c r="D1" s="555" t="s">
        <v>624</v>
      </c>
      <c r="E1" s="748" t="s">
        <v>777</v>
      </c>
    </row>
    <row r="2" spans="1:2" ht="15">
      <c r="A2" s="53"/>
      <c r="B2" s="855" t="str">
        <f>"Tab. 43 - Comune di "&amp;Comune</f>
        <v>Tab. 43 - Comune di </v>
      </c>
    </row>
    <row r="3" spans="1:2" ht="15">
      <c r="A3" s="782"/>
      <c r="B3" s="12" t="s">
        <v>70</v>
      </c>
    </row>
    <row r="4" spans="1:2" ht="26.25">
      <c r="A4" s="39" t="s">
        <v>341</v>
      </c>
      <c r="B4" s="318"/>
    </row>
    <row r="5" spans="1:2" ht="26.25">
      <c r="A5" s="39" t="s">
        <v>342</v>
      </c>
      <c r="B5" s="318"/>
    </row>
    <row r="6" spans="1:2" ht="26.25">
      <c r="A6" s="39" t="s">
        <v>343</v>
      </c>
      <c r="B6" s="318"/>
    </row>
    <row r="7" spans="1:2" ht="15">
      <c r="A7" s="39" t="s">
        <v>344</v>
      </c>
      <c r="B7" s="318"/>
    </row>
    <row r="8" spans="1:2" ht="15">
      <c r="A8" s="39" t="s">
        <v>345</v>
      </c>
      <c r="B8" s="318"/>
    </row>
    <row r="9" spans="1:2" ht="15">
      <c r="A9" s="39" t="s">
        <v>346</v>
      </c>
      <c r="B9" s="318"/>
    </row>
    <row r="10" spans="1:2" ht="26.25">
      <c r="A10" s="39" t="s">
        <v>347</v>
      </c>
      <c r="B10" s="318"/>
    </row>
    <row r="11" spans="1:2" ht="64.5">
      <c r="A11" s="39" t="s">
        <v>348</v>
      </c>
      <c r="B11" s="318"/>
    </row>
    <row r="12" spans="1:2" ht="26.25">
      <c r="A12" s="39" t="s">
        <v>349</v>
      </c>
      <c r="B12" s="318"/>
    </row>
    <row r="13" spans="1:2" ht="15">
      <c r="A13" s="39" t="s">
        <v>350</v>
      </c>
      <c r="B13" s="318"/>
    </row>
    <row r="14" spans="1:2" ht="15">
      <c r="A14" s="35" t="s">
        <v>216</v>
      </c>
      <c r="B14" s="38">
        <f>SUM(B4:B13)</f>
        <v>0</v>
      </c>
    </row>
    <row r="15" spans="1:2" ht="15">
      <c r="A15" s="53"/>
      <c r="B15" s="53"/>
    </row>
    <row r="16" spans="1:2" ht="15">
      <c r="A16" s="53"/>
      <c r="B16" s="53"/>
    </row>
    <row r="17" spans="1:2" ht="15">
      <c r="A17" s="7" t="s">
        <v>553</v>
      </c>
      <c r="B17" s="53"/>
    </row>
    <row r="18" spans="1:2" ht="12.75" customHeight="1">
      <c r="A18" s="53"/>
      <c r="B18" s="855" t="str">
        <f>"Tab. 44 - Comune di "&amp;Comune</f>
        <v>Tab. 44 - Comune di </v>
      </c>
    </row>
    <row r="19" spans="1:2" ht="15">
      <c r="A19" s="782"/>
      <c r="B19" s="12" t="s">
        <v>70</v>
      </c>
    </row>
    <row r="20" spans="1:2" ht="15">
      <c r="A20" s="39" t="s">
        <v>351</v>
      </c>
      <c r="B20" s="318"/>
    </row>
    <row r="21" spans="1:2" ht="15">
      <c r="A21" s="39" t="s">
        <v>352</v>
      </c>
      <c r="B21" s="318"/>
    </row>
    <row r="22" spans="1:2" ht="15">
      <c r="A22" s="39" t="s">
        <v>353</v>
      </c>
      <c r="B22" s="318"/>
    </row>
    <row r="23" spans="1:2" ht="15">
      <c r="A23" s="39" t="s">
        <v>354</v>
      </c>
      <c r="B23" s="318"/>
    </row>
    <row r="24" spans="1:2" ht="26.25">
      <c r="A24" s="39" t="s">
        <v>355</v>
      </c>
      <c r="B24" s="318"/>
    </row>
    <row r="25" spans="1:2" ht="15">
      <c r="A25" s="39" t="s">
        <v>356</v>
      </c>
      <c r="B25" s="318"/>
    </row>
    <row r="26" spans="1:2" ht="26.25">
      <c r="A26" s="39" t="s">
        <v>357</v>
      </c>
      <c r="B26" s="318"/>
    </row>
    <row r="27" spans="1:2" ht="51.75">
      <c r="A27" s="39" t="s">
        <v>358</v>
      </c>
      <c r="B27" s="318"/>
    </row>
    <row r="28" spans="1:2" ht="15">
      <c r="A28" s="39" t="s">
        <v>359</v>
      </c>
      <c r="B28" s="318"/>
    </row>
    <row r="29" spans="1:2" ht="15">
      <c r="A29" s="39" t="s">
        <v>360</v>
      </c>
      <c r="B29" s="318"/>
    </row>
    <row r="30" spans="1:2" ht="15">
      <c r="A30" s="35" t="s">
        <v>216</v>
      </c>
      <c r="B30" s="38">
        <f>SUM(B20:B29)</f>
        <v>0</v>
      </c>
    </row>
  </sheetData>
  <sheetProtection/>
  <hyperlinks>
    <hyperlink ref="D1" location="'Inserimento dati'!A1" display="InsDati"/>
    <hyperlink ref="E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321" customWidth="1"/>
    <col min="2" max="7" width="10.7109375" style="321" customWidth="1"/>
    <col min="8" max="8" width="11.28125" style="321" customWidth="1"/>
    <col min="9" max="11" width="12.421875" style="321" customWidth="1"/>
    <col min="12" max="16384" width="9.140625" style="321" customWidth="1"/>
  </cols>
  <sheetData>
    <row r="1" spans="1:11" ht="16.5">
      <c r="A1" s="320" t="s">
        <v>361</v>
      </c>
      <c r="J1" s="684" t="s">
        <v>624</v>
      </c>
      <c r="K1" s="748" t="s">
        <v>777</v>
      </c>
    </row>
    <row r="2" ht="4.5" customHeight="1"/>
    <row r="3" spans="1:8" ht="17.25" thickBot="1">
      <c r="A3" s="1194" t="s">
        <v>192</v>
      </c>
      <c r="B3" s="1194"/>
      <c r="C3" s="1194"/>
      <c r="D3" s="1194"/>
      <c r="E3" s="1194"/>
      <c r="F3" s="1194"/>
      <c r="G3" s="329"/>
      <c r="H3" s="855" t="str">
        <f>"Tab. 47 - Comune di "&amp;Comune</f>
        <v>Tab. 47 - Comune di </v>
      </c>
    </row>
    <row r="4" spans="1:8" ht="34.5" thickBot="1">
      <c r="A4" s="330" t="s">
        <v>362</v>
      </c>
      <c r="B4" s="963" t="s">
        <v>363</v>
      </c>
      <c r="C4" s="964" t="s">
        <v>364</v>
      </c>
      <c r="D4" s="964" t="s">
        <v>365</v>
      </c>
      <c r="E4" s="964" t="s">
        <v>366</v>
      </c>
      <c r="F4" s="964" t="s">
        <v>367</v>
      </c>
      <c r="G4" s="964" t="s">
        <v>368</v>
      </c>
      <c r="H4" s="965" t="s">
        <v>369</v>
      </c>
    </row>
    <row r="5" spans="1:8" ht="15">
      <c r="A5" s="331" t="s">
        <v>73</v>
      </c>
      <c r="B5" s="332"/>
      <c r="C5" s="332"/>
      <c r="D5" s="332"/>
      <c r="E5" s="332">
        <f>+B5-C5-D5</f>
        <v>0</v>
      </c>
      <c r="F5" s="952" t="e">
        <f>+ROUND(E5/B5,4)</f>
        <v>#DIV/0!</v>
      </c>
      <c r="G5" s="332"/>
      <c r="H5" s="333">
        <f>+E5+G5</f>
        <v>0</v>
      </c>
    </row>
    <row r="6" spans="1:8" ht="15">
      <c r="A6" s="334" t="s">
        <v>74</v>
      </c>
      <c r="B6" s="335"/>
      <c r="C6" s="335"/>
      <c r="D6" s="335"/>
      <c r="E6" s="335">
        <f>+B6-C6-D6</f>
        <v>0</v>
      </c>
      <c r="F6" s="953" t="e">
        <f aca="true" t="shared" si="0" ref="F6:F13">+ROUND(E6/B6,4)</f>
        <v>#DIV/0!</v>
      </c>
      <c r="G6" s="337"/>
      <c r="H6" s="336">
        <f>+E6+G6</f>
        <v>0</v>
      </c>
    </row>
    <row r="7" spans="1:8" ht="15">
      <c r="A7" s="334" t="s">
        <v>75</v>
      </c>
      <c r="B7" s="335"/>
      <c r="C7" s="335"/>
      <c r="D7" s="335"/>
      <c r="E7" s="335">
        <f>+B7-C7-D7</f>
        <v>0</v>
      </c>
      <c r="F7" s="953" t="e">
        <f t="shared" si="0"/>
        <v>#DIV/0!</v>
      </c>
      <c r="G7" s="337"/>
      <c r="H7" s="336">
        <f>+E7+G7</f>
        <v>0</v>
      </c>
    </row>
    <row r="8" spans="1:8" ht="15">
      <c r="A8" s="950" t="s">
        <v>1021</v>
      </c>
      <c r="B8" s="951">
        <f>SUM(B5:B7)</f>
        <v>0</v>
      </c>
      <c r="C8" s="951">
        <f aca="true" t="shared" si="1" ref="C8:H8">SUM(C5:C7)</f>
        <v>0</v>
      </c>
      <c r="D8" s="951">
        <f t="shared" si="1"/>
        <v>0</v>
      </c>
      <c r="E8" s="951">
        <f t="shared" si="1"/>
        <v>0</v>
      </c>
      <c r="F8" s="954" t="e">
        <f t="shared" si="0"/>
        <v>#DIV/0!</v>
      </c>
      <c r="G8" s="955">
        <f t="shared" si="1"/>
        <v>0</v>
      </c>
      <c r="H8" s="956">
        <f t="shared" si="1"/>
        <v>0</v>
      </c>
    </row>
    <row r="9" spans="1:8" ht="15">
      <c r="A9" s="334" t="s">
        <v>76</v>
      </c>
      <c r="B9" s="335"/>
      <c r="C9" s="335"/>
      <c r="D9" s="335"/>
      <c r="E9" s="335">
        <f>+B9-C9-D9</f>
        <v>0</v>
      </c>
      <c r="F9" s="953" t="e">
        <f t="shared" si="0"/>
        <v>#DIV/0!</v>
      </c>
      <c r="G9" s="337"/>
      <c r="H9" s="336">
        <f>+E9+G9</f>
        <v>0</v>
      </c>
    </row>
    <row r="10" spans="1:8" ht="15">
      <c r="A10" s="334" t="s">
        <v>77</v>
      </c>
      <c r="B10" s="335"/>
      <c r="C10" s="335"/>
      <c r="D10" s="335"/>
      <c r="E10" s="335">
        <f>+B10-C10-D10</f>
        <v>0</v>
      </c>
      <c r="F10" s="953" t="e">
        <f t="shared" si="0"/>
        <v>#DIV/0!</v>
      </c>
      <c r="G10" s="337"/>
      <c r="H10" s="336">
        <f>+E10+G10</f>
        <v>0</v>
      </c>
    </row>
    <row r="11" spans="1:8" ht="15">
      <c r="A11" s="950" t="s">
        <v>1022</v>
      </c>
      <c r="B11" s="951">
        <f>SUM(B9:B10)</f>
        <v>0</v>
      </c>
      <c r="C11" s="951">
        <f aca="true" t="shared" si="2" ref="C11:H11">SUM(C9:C10)</f>
        <v>0</v>
      </c>
      <c r="D11" s="951">
        <f t="shared" si="2"/>
        <v>0</v>
      </c>
      <c r="E11" s="951">
        <f t="shared" si="2"/>
        <v>0</v>
      </c>
      <c r="F11" s="954" t="e">
        <f t="shared" si="0"/>
        <v>#DIV/0!</v>
      </c>
      <c r="G11" s="955">
        <f t="shared" si="2"/>
        <v>0</v>
      </c>
      <c r="H11" s="956">
        <f t="shared" si="2"/>
        <v>0</v>
      </c>
    </row>
    <row r="12" spans="1:8" ht="23.25" thickBot="1">
      <c r="A12" s="334" t="s">
        <v>370</v>
      </c>
      <c r="B12" s="335"/>
      <c r="C12" s="335"/>
      <c r="D12" s="335"/>
      <c r="E12" s="335">
        <f>+B12-C12-D12</f>
        <v>0</v>
      </c>
      <c r="F12" s="953" t="e">
        <f t="shared" si="0"/>
        <v>#DIV/0!</v>
      </c>
      <c r="G12" s="335"/>
      <c r="H12" s="336">
        <f>+G12+E12</f>
        <v>0</v>
      </c>
    </row>
    <row r="13" spans="1:8" ht="15.75" thickBot="1">
      <c r="A13" s="957" t="s">
        <v>46</v>
      </c>
      <c r="B13" s="958">
        <f>SUM(B11,B8,B12)</f>
        <v>0</v>
      </c>
      <c r="C13" s="958">
        <f aca="true" t="shared" si="3" ref="C13:H13">SUM(C11,C8,C12)</f>
        <v>0</v>
      </c>
      <c r="D13" s="958">
        <f t="shared" si="3"/>
        <v>0</v>
      </c>
      <c r="E13" s="958">
        <f t="shared" si="3"/>
        <v>0</v>
      </c>
      <c r="F13" s="959" t="e">
        <f t="shared" si="0"/>
        <v>#DIV/0!</v>
      </c>
      <c r="G13" s="958">
        <f t="shared" si="3"/>
        <v>0</v>
      </c>
      <c r="H13" s="960">
        <f t="shared" si="3"/>
        <v>0</v>
      </c>
    </row>
    <row r="14" spans="1:8" ht="5.25" customHeight="1">
      <c r="A14" s="338"/>
      <c r="B14" s="339"/>
      <c r="C14" s="339"/>
      <c r="D14" s="339"/>
      <c r="E14" s="340"/>
      <c r="F14" s="339"/>
      <c r="G14" s="341"/>
      <c r="H14" s="342"/>
    </row>
    <row r="15" spans="1:8" ht="17.25" thickBot="1">
      <c r="A15" s="1194" t="s">
        <v>193</v>
      </c>
      <c r="B15" s="1194"/>
      <c r="C15" s="1194"/>
      <c r="D15" s="1194"/>
      <c r="E15" s="1194"/>
      <c r="F15" s="1194"/>
      <c r="G15" s="329"/>
      <c r="H15" s="329"/>
    </row>
    <row r="16" spans="1:8" ht="34.5" thickBot="1">
      <c r="A16" s="330" t="s">
        <v>362</v>
      </c>
      <c r="B16" s="963" t="s">
        <v>363</v>
      </c>
      <c r="C16" s="964" t="s">
        <v>371</v>
      </c>
      <c r="D16" s="964" t="s">
        <v>365</v>
      </c>
      <c r="E16" s="964" t="s">
        <v>366</v>
      </c>
      <c r="F16" s="964" t="s">
        <v>367</v>
      </c>
      <c r="G16" s="964" t="s">
        <v>368</v>
      </c>
      <c r="H16" s="965" t="s">
        <v>372</v>
      </c>
    </row>
    <row r="17" spans="1:11" ht="15">
      <c r="A17" s="331" t="s">
        <v>373</v>
      </c>
      <c r="B17" s="332"/>
      <c r="C17" s="332"/>
      <c r="D17" s="332"/>
      <c r="E17" s="332">
        <f>+B17-C17-D17</f>
        <v>0</v>
      </c>
      <c r="F17" s="952" t="e">
        <f>+ROUND(E17/B17,4)</f>
        <v>#DIV/0!</v>
      </c>
      <c r="G17" s="332"/>
      <c r="H17" s="333">
        <f>+G17+E17</f>
        <v>0</v>
      </c>
      <c r="K17" s="323"/>
    </row>
    <row r="18" spans="1:8" ht="15">
      <c r="A18" s="334" t="s">
        <v>374</v>
      </c>
      <c r="B18" s="335"/>
      <c r="C18" s="335"/>
      <c r="D18" s="335"/>
      <c r="E18" s="335">
        <f>+B18-C18-D18</f>
        <v>0</v>
      </c>
      <c r="F18" s="953" t="e">
        <f>+ROUND(E18/B18,4)</f>
        <v>#DIV/0!</v>
      </c>
      <c r="G18" s="337"/>
      <c r="H18" s="336">
        <f>+G18+E18</f>
        <v>0</v>
      </c>
    </row>
    <row r="19" spans="1:8" ht="15">
      <c r="A19" s="334" t="s">
        <v>375</v>
      </c>
      <c r="B19" s="335"/>
      <c r="C19" s="335"/>
      <c r="D19" s="335"/>
      <c r="E19" s="335">
        <f>+B19-C19-D19</f>
        <v>0</v>
      </c>
      <c r="F19" s="953" t="e">
        <f>+ROUND(E19/B19,4)</f>
        <v>#DIV/0!</v>
      </c>
      <c r="G19" s="337"/>
      <c r="H19" s="336">
        <f>+G19+E19</f>
        <v>0</v>
      </c>
    </row>
    <row r="20" spans="1:11" ht="23.25" thickBot="1">
      <c r="A20" s="334" t="s">
        <v>376</v>
      </c>
      <c r="B20" s="335"/>
      <c r="C20" s="335"/>
      <c r="D20" s="335"/>
      <c r="E20" s="335">
        <f>+B20-C20-D20</f>
        <v>0</v>
      </c>
      <c r="F20" s="953" t="e">
        <f>+ROUND(E20/B20,4)</f>
        <v>#DIV/0!</v>
      </c>
      <c r="G20" s="335"/>
      <c r="H20" s="336">
        <f>+G20+E20</f>
        <v>0</v>
      </c>
      <c r="K20" s="323"/>
    </row>
    <row r="21" spans="1:8" ht="15.75" thickBot="1">
      <c r="A21" s="957" t="s">
        <v>46</v>
      </c>
      <c r="B21" s="961">
        <f>SUM(B17:B20)</f>
        <v>0</v>
      </c>
      <c r="C21" s="961">
        <f>SUM(C17:C20)</f>
        <v>0</v>
      </c>
      <c r="D21" s="961">
        <f>SUM(D17:D20)</f>
        <v>0</v>
      </c>
      <c r="E21" s="961">
        <f>SUM(E17:E20)</f>
        <v>0</v>
      </c>
      <c r="F21" s="959" t="e">
        <f>+ROUND(E21/B21,4)</f>
        <v>#DIV/0!</v>
      </c>
      <c r="G21" s="961">
        <f>SUM(G17:G20)</f>
        <v>0</v>
      </c>
      <c r="H21" s="961">
        <f>SUM(H17:H20)</f>
        <v>0</v>
      </c>
    </row>
    <row r="22" spans="1:8" ht="5.25" customHeight="1">
      <c r="A22" s="338"/>
      <c r="B22" s="339"/>
      <c r="C22" s="339"/>
      <c r="D22" s="339"/>
      <c r="E22" s="340"/>
      <c r="F22" s="339"/>
      <c r="G22" s="341"/>
      <c r="H22" s="341"/>
    </row>
    <row r="23" spans="1:8" ht="5.25" customHeight="1">
      <c r="A23" s="338"/>
      <c r="B23" s="339"/>
      <c r="C23" s="339"/>
      <c r="D23" s="339"/>
      <c r="E23" s="340"/>
      <c r="F23" s="339"/>
      <c r="G23" s="341"/>
      <c r="H23" s="341"/>
    </row>
    <row r="24" spans="1:8" ht="5.25" customHeight="1">
      <c r="A24" s="338"/>
      <c r="B24" s="339"/>
      <c r="C24" s="339"/>
      <c r="D24" s="339"/>
      <c r="E24" s="340"/>
      <c r="F24" s="339"/>
      <c r="G24" s="341"/>
      <c r="H24" s="341"/>
    </row>
    <row r="25" spans="1:8" ht="15">
      <c r="A25" s="338"/>
      <c r="B25" s="339"/>
      <c r="C25" s="339"/>
      <c r="D25" s="339"/>
      <c r="E25" s="340"/>
      <c r="F25" s="855" t="str">
        <f>"Tab. 48 - Comune di "&amp;Comune</f>
        <v>Tab. 48 - Comune di </v>
      </c>
      <c r="G25" s="341"/>
      <c r="H25" s="341"/>
    </row>
    <row r="26" spans="1:8" ht="16.5" thickBot="1">
      <c r="A26" s="1195" t="s">
        <v>377</v>
      </c>
      <c r="B26" s="1195"/>
      <c r="C26" s="1195"/>
      <c r="D26" s="1195"/>
      <c r="E26" s="1195"/>
      <c r="F26" s="1195"/>
      <c r="G26" s="329"/>
      <c r="H26" s="329"/>
    </row>
    <row r="27" spans="1:11" ht="15">
      <c r="A27" s="968" t="s">
        <v>378</v>
      </c>
      <c r="B27" s="969"/>
      <c r="C27" s="969"/>
      <c r="D27" s="970"/>
      <c r="E27" s="1192">
        <v>0</v>
      </c>
      <c r="F27" s="1193"/>
      <c r="G27" s="329"/>
      <c r="H27" s="343"/>
      <c r="I27" s="324"/>
      <c r="K27" s="325"/>
    </row>
    <row r="28" spans="1:11" ht="15">
      <c r="A28" s="971" t="s">
        <v>1023</v>
      </c>
      <c r="B28" s="966"/>
      <c r="C28" s="966"/>
      <c r="D28" s="967"/>
      <c r="E28" s="1186"/>
      <c r="F28" s="1187"/>
      <c r="G28" s="329"/>
      <c r="H28" s="343"/>
      <c r="I28" s="324"/>
      <c r="K28" s="325"/>
    </row>
    <row r="29" spans="1:11" ht="15">
      <c r="A29" s="972" t="s">
        <v>1024</v>
      </c>
      <c r="B29" s="966"/>
      <c r="C29" s="966"/>
      <c r="D29" s="967"/>
      <c r="E29" s="1186"/>
      <c r="F29" s="1187"/>
      <c r="G29" s="329"/>
      <c r="H29" s="343"/>
      <c r="I29" s="324"/>
      <c r="K29" s="325"/>
    </row>
    <row r="30" spans="1:11" ht="15">
      <c r="A30" s="972" t="s">
        <v>1025</v>
      </c>
      <c r="B30" s="966"/>
      <c r="C30" s="966"/>
      <c r="D30" s="967"/>
      <c r="E30" s="1186"/>
      <c r="F30" s="1187"/>
      <c r="G30" s="329"/>
      <c r="H30" s="343"/>
      <c r="I30" s="324"/>
      <c r="K30" s="325"/>
    </row>
    <row r="31" spans="1:11" ht="15">
      <c r="A31" s="972" t="s">
        <v>1026</v>
      </c>
      <c r="B31" s="966"/>
      <c r="C31" s="966"/>
      <c r="D31" s="967"/>
      <c r="E31" s="1186"/>
      <c r="F31" s="1187"/>
      <c r="G31" s="329"/>
      <c r="H31" s="343"/>
      <c r="I31" s="324"/>
      <c r="K31" s="325"/>
    </row>
    <row r="32" spans="1:11" ht="15">
      <c r="A32" s="972" t="s">
        <v>1027</v>
      </c>
      <c r="B32" s="966"/>
      <c r="C32" s="966"/>
      <c r="D32" s="967"/>
      <c r="E32" s="1186"/>
      <c r="F32" s="1187"/>
      <c r="G32" s="329"/>
      <c r="H32" s="343"/>
      <c r="I32" s="324"/>
      <c r="K32" s="325"/>
    </row>
    <row r="33" spans="1:11" ht="15">
      <c r="A33" s="972" t="s">
        <v>1028</v>
      </c>
      <c r="B33" s="966"/>
      <c r="C33" s="966"/>
      <c r="D33" s="967"/>
      <c r="E33" s="1186"/>
      <c r="F33" s="1187"/>
      <c r="G33" s="329"/>
      <c r="H33" s="343"/>
      <c r="I33" s="324"/>
      <c r="K33" s="325"/>
    </row>
    <row r="34" spans="1:11" ht="15">
      <c r="A34" s="973" t="s">
        <v>379</v>
      </c>
      <c r="B34" s="344"/>
      <c r="C34" s="344"/>
      <c r="D34" s="345"/>
      <c r="E34" s="1186">
        <f>SUM(E29:E33)</f>
        <v>0</v>
      </c>
      <c r="F34" s="1187"/>
      <c r="G34" s="329"/>
      <c r="H34" s="343"/>
      <c r="I34" s="324"/>
      <c r="K34" s="325"/>
    </row>
    <row r="35" spans="1:11" ht="15">
      <c r="A35" s="974" t="s">
        <v>1029</v>
      </c>
      <c r="B35" s="350"/>
      <c r="C35" s="350"/>
      <c r="D35" s="349"/>
      <c r="E35" s="1186"/>
      <c r="F35" s="1187"/>
      <c r="G35" s="329"/>
      <c r="H35" s="343"/>
      <c r="I35" s="324"/>
      <c r="K35" s="325"/>
    </row>
    <row r="36" spans="1:11" ht="15">
      <c r="A36" s="975" t="s">
        <v>1024</v>
      </c>
      <c r="B36" s="350"/>
      <c r="C36" s="350"/>
      <c r="D36" s="349"/>
      <c r="E36" s="1186"/>
      <c r="F36" s="1187"/>
      <c r="G36" s="329"/>
      <c r="H36" s="343"/>
      <c r="I36" s="324"/>
      <c r="K36" s="325"/>
    </row>
    <row r="37" spans="1:11" ht="15">
      <c r="A37" s="975" t="s">
        <v>1025</v>
      </c>
      <c r="B37" s="350"/>
      <c r="C37" s="350"/>
      <c r="D37" s="349"/>
      <c r="E37" s="1186"/>
      <c r="F37" s="1187"/>
      <c r="G37" s="329"/>
      <c r="H37" s="343"/>
      <c r="I37" s="324"/>
      <c r="K37" s="325"/>
    </row>
    <row r="38" spans="1:11" ht="15">
      <c r="A38" s="975" t="s">
        <v>1026</v>
      </c>
      <c r="B38" s="350"/>
      <c r="C38" s="350"/>
      <c r="D38" s="349"/>
      <c r="E38" s="1186"/>
      <c r="F38" s="1187"/>
      <c r="G38" s="329"/>
      <c r="H38" s="343"/>
      <c r="I38" s="324"/>
      <c r="K38" s="325"/>
    </row>
    <row r="39" spans="1:11" ht="15">
      <c r="A39" s="975" t="s">
        <v>1027</v>
      </c>
      <c r="B39" s="350"/>
      <c r="C39" s="350"/>
      <c r="D39" s="349"/>
      <c r="E39" s="1186"/>
      <c r="F39" s="1187"/>
      <c r="G39" s="329"/>
      <c r="H39" s="343"/>
      <c r="I39" s="324"/>
      <c r="K39" s="325"/>
    </row>
    <row r="40" spans="1:11" ht="15">
      <c r="A40" s="975" t="s">
        <v>384</v>
      </c>
      <c r="B40" s="350"/>
      <c r="C40" s="350"/>
      <c r="D40" s="349"/>
      <c r="E40" s="1186"/>
      <c r="F40" s="1187"/>
      <c r="G40" s="329"/>
      <c r="H40" s="343"/>
      <c r="I40" s="324"/>
      <c r="K40" s="325"/>
    </row>
    <row r="41" spans="1:11" ht="15.75" thickBot="1">
      <c r="A41" s="976" t="s">
        <v>380</v>
      </c>
      <c r="B41" s="350"/>
      <c r="C41" s="350"/>
      <c r="D41" s="349"/>
      <c r="E41" s="1190">
        <f>SUM(E36:E40)</f>
        <v>0</v>
      </c>
      <c r="F41" s="1191"/>
      <c r="G41" s="329"/>
      <c r="H41" s="343"/>
      <c r="I41" s="324"/>
      <c r="K41" s="325"/>
    </row>
    <row r="42" spans="1:11" ht="15.75" thickBot="1">
      <c r="A42" s="962" t="s">
        <v>207</v>
      </c>
      <c r="B42" s="977"/>
      <c r="C42" s="977"/>
      <c r="D42" s="978"/>
      <c r="E42" s="1188">
        <f>SUM(E41,E34,E27)</f>
        <v>0</v>
      </c>
      <c r="F42" s="1189"/>
      <c r="G42" s="329"/>
      <c r="H42" s="343"/>
      <c r="I42" s="324"/>
      <c r="K42" s="325"/>
    </row>
    <row r="43" spans="1:11" ht="5.25" customHeight="1">
      <c r="A43" s="347"/>
      <c r="B43" s="348"/>
      <c r="C43" s="348"/>
      <c r="D43" s="348"/>
      <c r="E43" s="348"/>
      <c r="F43" s="348"/>
      <c r="G43" s="329"/>
      <c r="H43" s="343"/>
      <c r="I43" s="326"/>
      <c r="K43" s="327"/>
    </row>
    <row r="44" spans="1:11" ht="17.25" thickBot="1">
      <c r="A44" s="1194" t="s">
        <v>381</v>
      </c>
      <c r="B44" s="1194"/>
      <c r="C44" s="1194"/>
      <c r="D44" s="1194"/>
      <c r="E44" s="1194"/>
      <c r="F44" s="1194"/>
      <c r="G44" s="329"/>
      <c r="H44" s="343"/>
      <c r="I44" s="322"/>
      <c r="K44" s="328"/>
    </row>
    <row r="45" spans="1:8" ht="15">
      <c r="A45" s="979" t="s">
        <v>382</v>
      </c>
      <c r="B45" s="980"/>
      <c r="C45" s="980"/>
      <c r="D45" s="981"/>
      <c r="E45" s="1192">
        <f>-D5+D17</f>
        <v>0</v>
      </c>
      <c r="F45" s="1193"/>
      <c r="G45" s="329"/>
      <c r="H45" s="329"/>
    </row>
    <row r="46" spans="1:8" ht="15">
      <c r="A46" s="982" t="s">
        <v>383</v>
      </c>
      <c r="B46" s="350"/>
      <c r="C46" s="350"/>
      <c r="D46" s="349"/>
      <c r="E46" s="1186">
        <f>-D8+D18</f>
        <v>0</v>
      </c>
      <c r="F46" s="1187"/>
      <c r="G46" s="329"/>
      <c r="H46" s="329"/>
    </row>
    <row r="47" spans="1:8" ht="15">
      <c r="A47" s="982" t="s">
        <v>384</v>
      </c>
      <c r="B47" s="350"/>
      <c r="C47" s="350"/>
      <c r="D47" s="349"/>
      <c r="E47" s="1186">
        <f>-D12+D20</f>
        <v>0</v>
      </c>
      <c r="F47" s="1187"/>
      <c r="G47" s="329"/>
      <c r="H47" s="329"/>
    </row>
    <row r="48" spans="1:8" ht="15.75" thickBot="1">
      <c r="A48" s="982" t="s">
        <v>385</v>
      </c>
      <c r="B48" s="350"/>
      <c r="C48" s="350"/>
      <c r="D48" s="346"/>
      <c r="E48" s="1186"/>
      <c r="F48" s="1187"/>
      <c r="G48" s="329"/>
      <c r="H48" s="329"/>
    </row>
    <row r="49" spans="1:8" ht="15.75" thickBot="1">
      <c r="A49" s="962" t="s">
        <v>386</v>
      </c>
      <c r="B49" s="977"/>
      <c r="C49" s="977"/>
      <c r="D49" s="978"/>
      <c r="E49" s="1188">
        <f>SUM(E45:E48)</f>
        <v>0</v>
      </c>
      <c r="F49" s="1189"/>
      <c r="G49" s="329"/>
      <c r="H49" s="329"/>
    </row>
    <row r="51" ht="15">
      <c r="A51" s="989" t="s">
        <v>1035</v>
      </c>
    </row>
    <row r="52" spans="1:8" ht="15">
      <c r="A52" s="321" t="s">
        <v>857</v>
      </c>
      <c r="H52" s="855" t="str">
        <f>"Tab. 48/A - Comune di "&amp;Comune</f>
        <v>Tab. 48/A - Comune di </v>
      </c>
    </row>
    <row r="53" spans="5:8" ht="45">
      <c r="E53" s="983" t="s">
        <v>73</v>
      </c>
      <c r="F53" s="983" t="s">
        <v>75</v>
      </c>
      <c r="G53" s="983" t="s">
        <v>76</v>
      </c>
      <c r="H53" s="984" t="s">
        <v>1032</v>
      </c>
    </row>
    <row r="54" spans="1:8" ht="15">
      <c r="A54" s="986" t="s">
        <v>1033</v>
      </c>
      <c r="B54" s="987"/>
      <c r="C54" s="987"/>
      <c r="D54" s="988"/>
      <c r="E54" s="985">
        <v>0</v>
      </c>
      <c r="F54" s="985">
        <v>0</v>
      </c>
      <c r="G54" s="985">
        <v>0</v>
      </c>
      <c r="H54" s="985">
        <v>0</v>
      </c>
    </row>
    <row r="55" spans="1:8" ht="15">
      <c r="A55" s="986" t="s">
        <v>1030</v>
      </c>
      <c r="B55" s="987"/>
      <c r="C55" s="987"/>
      <c r="D55" s="988"/>
      <c r="E55" s="985">
        <v>0</v>
      </c>
      <c r="F55" s="985">
        <v>0</v>
      </c>
      <c r="G55" s="985">
        <v>0</v>
      </c>
      <c r="H55" s="985">
        <v>0</v>
      </c>
    </row>
    <row r="56" spans="1:8" ht="15">
      <c r="A56" s="986" t="s">
        <v>1031</v>
      </c>
      <c r="B56" s="987"/>
      <c r="C56" s="987"/>
      <c r="D56" s="988"/>
      <c r="E56" s="985">
        <v>0</v>
      </c>
      <c r="F56" s="985">
        <v>0</v>
      </c>
      <c r="G56" s="985">
        <v>0</v>
      </c>
      <c r="H56" s="985">
        <v>0</v>
      </c>
    </row>
    <row r="57" spans="1:8" ht="15">
      <c r="A57" s="986" t="s">
        <v>1034</v>
      </c>
      <c r="B57" s="987"/>
      <c r="C57" s="987"/>
      <c r="D57" s="988"/>
      <c r="E57" s="985">
        <f>+E54-E55-E56</f>
        <v>0</v>
      </c>
      <c r="F57" s="985">
        <f>+F54-F55-F56</f>
        <v>0</v>
      </c>
      <c r="G57" s="985">
        <f>+G54-G55-G56</f>
        <v>0</v>
      </c>
      <c r="H57" s="985">
        <f>+H54-H55-H56</f>
        <v>0</v>
      </c>
    </row>
  </sheetData>
  <sheetProtection/>
  <mergeCells count="25">
    <mergeCell ref="A3:F3"/>
    <mergeCell ref="A15:F15"/>
    <mergeCell ref="A26:F26"/>
    <mergeCell ref="A44:F4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7:F47"/>
    <mergeCell ref="E48:F48"/>
    <mergeCell ref="E49:F49"/>
    <mergeCell ref="E39:F39"/>
    <mergeCell ref="E40:F40"/>
    <mergeCell ref="E41:F41"/>
    <mergeCell ref="E42:F42"/>
    <mergeCell ref="E45:F45"/>
    <mergeCell ref="E46:F46"/>
  </mergeCells>
  <hyperlinks>
    <hyperlink ref="J1" location="'Inserimento dati'!A1" display="InsDati"/>
    <hyperlink ref="K1" location="'Vai A'!A1" display="Vai a …"/>
  </hyperlinks>
  <printOptions/>
  <pageMargins left="0.75" right="0.75" top="1" bottom="1" header="0.5" footer="0.5"/>
  <pageSetup horizontalDpi="96" verticalDpi="96" orientation="portrait" paperSize="9" r:id="rId1"/>
  <ignoredErrors>
    <ignoredError sqref="F5 F6:F7 F17:F20" evalError="1"/>
    <ignoredError sqref="F13 F21 F9:F10 F11:F12 F8" evalError="1" formula="1"/>
    <ignoredError sqref="E8 E11:E12 E9:E10 G9:H10 G8:H8 G11:H12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H27" sqref="A1:H27"/>
    </sheetView>
  </sheetViews>
  <sheetFormatPr defaultColWidth="9.140625" defaultRowHeight="12.75"/>
  <cols>
    <col min="1" max="1" width="15.140625" style="21" customWidth="1"/>
    <col min="2" max="7" width="9.7109375" style="21" customWidth="1"/>
    <col min="8" max="8" width="13.140625" style="21" customWidth="1"/>
    <col min="9" max="9" width="4.57421875" style="21" customWidth="1"/>
    <col min="10" max="10" width="18.7109375" style="21" customWidth="1"/>
    <col min="11" max="16384" width="9.140625" style="21" customWidth="1"/>
  </cols>
  <sheetData>
    <row r="1" spans="1:12" ht="15.75">
      <c r="A1" s="100" t="s">
        <v>387</v>
      </c>
      <c r="H1" s="855" t="str">
        <f>"Tab. 49 - Comune di "&amp;Comune</f>
        <v>Tab. 49 - Comune di </v>
      </c>
      <c r="K1" s="684" t="s">
        <v>624</v>
      </c>
      <c r="L1" s="748" t="s">
        <v>777</v>
      </c>
    </row>
    <row r="2" spans="1:8" ht="24.75" thickBot="1">
      <c r="A2" s="359" t="s">
        <v>180</v>
      </c>
      <c r="B2" s="359" t="s">
        <v>388</v>
      </c>
      <c r="C2" s="503">
        <v>2009</v>
      </c>
      <c r="D2" s="503">
        <f>+C2+1</f>
        <v>2010</v>
      </c>
      <c r="E2" s="503">
        <f>+D2+1</f>
        <v>2011</v>
      </c>
      <c r="F2" s="503">
        <f>+E2+1</f>
        <v>2012</v>
      </c>
      <c r="G2" s="503">
        <f>+F2+1</f>
        <v>2013</v>
      </c>
      <c r="H2" s="359" t="s">
        <v>46</v>
      </c>
    </row>
    <row r="3" spans="1:8" ht="15.75" thickBot="1">
      <c r="A3" s="358" t="s">
        <v>389</v>
      </c>
      <c r="B3" s="351"/>
      <c r="C3" s="352"/>
      <c r="D3" s="352"/>
      <c r="E3" s="352"/>
      <c r="F3" s="352"/>
      <c r="G3" s="352"/>
      <c r="H3" s="352"/>
    </row>
    <row r="4" spans="1:8" ht="15">
      <c r="A4" s="353" t="s">
        <v>73</v>
      </c>
      <c r="B4" s="175"/>
      <c r="C4" s="175"/>
      <c r="D4" s="175"/>
      <c r="E4" s="175"/>
      <c r="F4" s="175"/>
      <c r="G4" s="175"/>
      <c r="H4" s="175">
        <f>SUM(B4:G4)</f>
        <v>0</v>
      </c>
    </row>
    <row r="5" spans="1:8" ht="15">
      <c r="A5" s="990" t="s">
        <v>390</v>
      </c>
      <c r="B5" s="354"/>
      <c r="C5" s="354"/>
      <c r="D5" s="354"/>
      <c r="E5" s="354"/>
      <c r="F5" s="354"/>
      <c r="G5" s="354"/>
      <c r="H5" s="108">
        <f>SUM(B5:G5)</f>
        <v>0</v>
      </c>
    </row>
    <row r="6" spans="1:8" ht="15">
      <c r="A6" s="990" t="s">
        <v>1036</v>
      </c>
      <c r="B6" s="354"/>
      <c r="C6" s="354"/>
      <c r="D6" s="354"/>
      <c r="E6" s="354"/>
      <c r="F6" s="354"/>
      <c r="G6" s="354"/>
      <c r="H6" s="108">
        <f>SUM(B6:G6)</f>
        <v>0</v>
      </c>
    </row>
    <row r="7" spans="1:8" ht="15">
      <c r="A7" s="355" t="s">
        <v>74</v>
      </c>
      <c r="B7" s="108"/>
      <c r="C7" s="108"/>
      <c r="D7" s="108"/>
      <c r="E7" s="108"/>
      <c r="F7" s="108"/>
      <c r="G7" s="108"/>
      <c r="H7" s="108">
        <f aca="true" t="shared" si="0" ref="H7:H18">SUM(B7:G7)</f>
        <v>0</v>
      </c>
    </row>
    <row r="8" spans="1:8" ht="15">
      <c r="A8" s="990" t="s">
        <v>1042</v>
      </c>
      <c r="B8" s="108"/>
      <c r="C8" s="108"/>
      <c r="D8" s="108"/>
      <c r="E8" s="108"/>
      <c r="F8" s="108"/>
      <c r="G8" s="108"/>
      <c r="H8" s="108">
        <f t="shared" si="0"/>
        <v>0</v>
      </c>
    </row>
    <row r="9" spans="1:8" ht="15">
      <c r="A9" s="990" t="s">
        <v>1043</v>
      </c>
      <c r="B9" s="108"/>
      <c r="C9" s="108"/>
      <c r="D9" s="108"/>
      <c r="E9" s="108"/>
      <c r="F9" s="108"/>
      <c r="G9" s="108"/>
      <c r="H9" s="108">
        <f t="shared" si="0"/>
        <v>0</v>
      </c>
    </row>
    <row r="10" spans="1:8" ht="15">
      <c r="A10" s="355" t="s">
        <v>75</v>
      </c>
      <c r="B10" s="108"/>
      <c r="C10" s="108"/>
      <c r="D10" s="108"/>
      <c r="E10" s="108"/>
      <c r="F10" s="108"/>
      <c r="G10" s="108"/>
      <c r="H10" s="108">
        <f t="shared" si="0"/>
        <v>0</v>
      </c>
    </row>
    <row r="11" spans="1:8" ht="15">
      <c r="A11" s="990" t="s">
        <v>391</v>
      </c>
      <c r="B11" s="108"/>
      <c r="C11" s="108"/>
      <c r="D11" s="108"/>
      <c r="E11" s="108"/>
      <c r="F11" s="108"/>
      <c r="G11" s="108"/>
      <c r="H11" s="108">
        <f t="shared" si="0"/>
        <v>0</v>
      </c>
    </row>
    <row r="12" spans="1:8" ht="15">
      <c r="A12" s="990" t="s">
        <v>1041</v>
      </c>
      <c r="B12" s="108"/>
      <c r="C12" s="108"/>
      <c r="D12" s="108"/>
      <c r="E12" s="108"/>
      <c r="F12" s="108"/>
      <c r="G12" s="108"/>
      <c r="H12" s="108">
        <f t="shared" si="0"/>
        <v>0</v>
      </c>
    </row>
    <row r="13" spans="1:8" ht="15">
      <c r="A13" s="990" t="s">
        <v>394</v>
      </c>
      <c r="B13" s="356"/>
      <c r="C13" s="356"/>
      <c r="D13" s="356"/>
      <c r="E13" s="356"/>
      <c r="F13" s="356"/>
      <c r="G13" s="356"/>
      <c r="H13" s="108">
        <f t="shared" si="0"/>
        <v>0</v>
      </c>
    </row>
    <row r="14" spans="1:8" ht="15">
      <c r="A14" s="990" t="s">
        <v>1037</v>
      </c>
      <c r="B14" s="356">
        <f>SUM(B4,B7,B10)</f>
        <v>0</v>
      </c>
      <c r="C14" s="356">
        <f aca="true" t="shared" si="1" ref="C14:H14">SUM(C4,C7,C10)</f>
        <v>0</v>
      </c>
      <c r="D14" s="356">
        <f t="shared" si="1"/>
        <v>0</v>
      </c>
      <c r="E14" s="356">
        <f t="shared" si="1"/>
        <v>0</v>
      </c>
      <c r="F14" s="356">
        <f t="shared" si="1"/>
        <v>0</v>
      </c>
      <c r="G14" s="356">
        <f t="shared" si="1"/>
        <v>0</v>
      </c>
      <c r="H14" s="356">
        <f t="shared" si="1"/>
        <v>0</v>
      </c>
    </row>
    <row r="15" spans="1:8" ht="15">
      <c r="A15" s="355" t="s">
        <v>76</v>
      </c>
      <c r="B15" s="108"/>
      <c r="C15" s="108"/>
      <c r="D15" s="108"/>
      <c r="E15" s="108"/>
      <c r="F15" s="108"/>
      <c r="G15" s="108"/>
      <c r="H15" s="108">
        <f t="shared" si="0"/>
        <v>0</v>
      </c>
    </row>
    <row r="16" spans="1:8" ht="15">
      <c r="A16" s="990" t="s">
        <v>1042</v>
      </c>
      <c r="B16" s="108"/>
      <c r="C16" s="108"/>
      <c r="D16" s="108"/>
      <c r="E16" s="108"/>
      <c r="F16" s="108"/>
      <c r="G16" s="108"/>
      <c r="H16" s="108">
        <f>SUM(B16:G16)</f>
        <v>0</v>
      </c>
    </row>
    <row r="17" spans="1:8" ht="15">
      <c r="A17" s="990" t="s">
        <v>1043</v>
      </c>
      <c r="B17" s="108"/>
      <c r="C17" s="108"/>
      <c r="D17" s="108"/>
      <c r="E17" s="108"/>
      <c r="F17" s="108"/>
      <c r="G17" s="108"/>
      <c r="H17" s="108">
        <f>SUM(B17:G17)</f>
        <v>0</v>
      </c>
    </row>
    <row r="18" spans="1:8" ht="15">
      <c r="A18" s="355" t="s">
        <v>77</v>
      </c>
      <c r="B18" s="108"/>
      <c r="C18" s="108"/>
      <c r="D18" s="108"/>
      <c r="E18" s="108"/>
      <c r="F18" s="108"/>
      <c r="G18" s="108"/>
      <c r="H18" s="108">
        <f t="shared" si="0"/>
        <v>0</v>
      </c>
    </row>
    <row r="19" spans="1:8" ht="15">
      <c r="A19" s="990" t="s">
        <v>1038</v>
      </c>
      <c r="B19" s="108">
        <f>SUM(B15:B18)</f>
        <v>0</v>
      </c>
      <c r="C19" s="108">
        <f aca="true" t="shared" si="2" ref="C19:H19">SUM(C15:C18)</f>
        <v>0</v>
      </c>
      <c r="D19" s="108">
        <f t="shared" si="2"/>
        <v>0</v>
      </c>
      <c r="E19" s="108">
        <f t="shared" si="2"/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</row>
    <row r="20" spans="1:8" ht="15">
      <c r="A20" s="355" t="s">
        <v>221</v>
      </c>
      <c r="B20" s="108"/>
      <c r="C20" s="108"/>
      <c r="D20" s="108"/>
      <c r="E20" s="108"/>
      <c r="F20" s="108"/>
      <c r="G20" s="108"/>
      <c r="H20" s="108">
        <f>SUM(B20:G20)</f>
        <v>0</v>
      </c>
    </row>
    <row r="21" spans="1:9" ht="15.75" thickBot="1">
      <c r="A21" s="357" t="s">
        <v>1039</v>
      </c>
      <c r="B21" s="223">
        <f>SUM(B15:B20)+B10+B7+B4</f>
        <v>0</v>
      </c>
      <c r="C21" s="223">
        <f aca="true" t="shared" si="3" ref="C21:H21">SUM(C15:C20)+C10+C7+C4</f>
        <v>0</v>
      </c>
      <c r="D21" s="223">
        <f t="shared" si="3"/>
        <v>0</v>
      </c>
      <c r="E21" s="223">
        <f t="shared" si="3"/>
        <v>0</v>
      </c>
      <c r="F21" s="223">
        <f t="shared" si="3"/>
        <v>0</v>
      </c>
      <c r="G21" s="223">
        <f t="shared" si="3"/>
        <v>0</v>
      </c>
      <c r="H21" s="223">
        <f t="shared" si="3"/>
        <v>0</v>
      </c>
      <c r="I21" s="184"/>
    </row>
    <row r="22" spans="1:8" ht="16.5" thickBot="1" thickTop="1">
      <c r="A22" s="358" t="s">
        <v>392</v>
      </c>
      <c r="B22" s="351"/>
      <c r="C22" s="352"/>
      <c r="D22" s="352"/>
      <c r="E22" s="352"/>
      <c r="F22" s="352"/>
      <c r="G22" s="352"/>
      <c r="H22" s="352"/>
    </row>
    <row r="23" spans="1:8" ht="15">
      <c r="A23" s="353" t="s">
        <v>73</v>
      </c>
      <c r="B23" s="105"/>
      <c r="C23" s="105"/>
      <c r="D23" s="105"/>
      <c r="E23" s="105"/>
      <c r="F23" s="105"/>
      <c r="G23" s="105"/>
      <c r="H23" s="108">
        <f>SUM(B23:G23)</f>
        <v>0</v>
      </c>
    </row>
    <row r="24" spans="1:8" ht="15">
      <c r="A24" s="355" t="s">
        <v>74</v>
      </c>
      <c r="B24" s="108"/>
      <c r="C24" s="108"/>
      <c r="D24" s="108"/>
      <c r="E24" s="108"/>
      <c r="F24" s="108"/>
      <c r="G24" s="108"/>
      <c r="H24" s="108">
        <f>SUM(B24:G24)</f>
        <v>0</v>
      </c>
    </row>
    <row r="25" spans="1:8" ht="15">
      <c r="A25" s="355" t="s">
        <v>393</v>
      </c>
      <c r="B25" s="108"/>
      <c r="C25" s="108"/>
      <c r="D25" s="108"/>
      <c r="E25" s="108"/>
      <c r="F25" s="108"/>
      <c r="G25" s="108"/>
      <c r="H25" s="108">
        <f>SUM(B25:G25)</f>
        <v>0</v>
      </c>
    </row>
    <row r="26" spans="1:8" ht="15">
      <c r="A26" s="355" t="s">
        <v>76</v>
      </c>
      <c r="B26" s="108"/>
      <c r="C26" s="108"/>
      <c r="D26" s="108"/>
      <c r="E26" s="108"/>
      <c r="F26" s="108"/>
      <c r="G26" s="108"/>
      <c r="H26" s="108">
        <f>SUM(B26:G26)</f>
        <v>0</v>
      </c>
    </row>
    <row r="27" spans="1:9" ht="15.75" thickBot="1">
      <c r="A27" s="357" t="s">
        <v>1040</v>
      </c>
      <c r="B27" s="223">
        <f aca="true" t="shared" si="4" ref="B27:H27">SUM(B23:B26)</f>
        <v>0</v>
      </c>
      <c r="C27" s="223">
        <f t="shared" si="4"/>
        <v>0</v>
      </c>
      <c r="D27" s="223">
        <f t="shared" si="4"/>
        <v>0</v>
      </c>
      <c r="E27" s="223">
        <f t="shared" si="4"/>
        <v>0</v>
      </c>
      <c r="F27" s="223">
        <f t="shared" si="4"/>
        <v>0</v>
      </c>
      <c r="G27" s="223">
        <f t="shared" si="4"/>
        <v>0</v>
      </c>
      <c r="H27" s="223">
        <f t="shared" si="4"/>
        <v>0</v>
      </c>
      <c r="I27" s="184"/>
    </row>
    <row r="28" ht="15.75" thickTop="1"/>
  </sheetData>
  <sheetProtection/>
  <hyperlinks>
    <hyperlink ref="K1" location="'Inserimento dati'!A1" display="InsDati"/>
    <hyperlink ref="L1" location="'Vai A'!A1" display="Vai a …"/>
  </hyperlinks>
  <printOptions/>
  <pageMargins left="0.7" right="0.7" top="0.75" bottom="0.75" header="0.3" footer="0.3"/>
  <pageSetup horizontalDpi="600" verticalDpi="600" orientation="portrait" paperSize="9" r:id="rId1"/>
  <ignoredErrors>
    <ignoredError sqref="H18:H19 H14:H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A36" sqref="A36"/>
    </sheetView>
  </sheetViews>
  <sheetFormatPr defaultColWidth="9.140625" defaultRowHeight="12.75" outlineLevelRow="1"/>
  <cols>
    <col min="1" max="1" width="44.421875" style="0" customWidth="1"/>
    <col min="2" max="4" width="13.7109375" style="0" customWidth="1"/>
    <col min="5" max="5" width="3.140625" style="0" customWidth="1"/>
    <col min="9" max="9" width="60.28125" style="0" bestFit="1" customWidth="1"/>
  </cols>
  <sheetData>
    <row r="1" spans="2:7" ht="12.75">
      <c r="B1" s="6"/>
      <c r="C1" s="6"/>
      <c r="F1" s="555" t="s">
        <v>624</v>
      </c>
      <c r="G1" s="748" t="s">
        <v>777</v>
      </c>
    </row>
    <row r="2" spans="1:4" ht="12.75" hidden="1" outlineLevel="1">
      <c r="A2" s="855" t="str">
        <f>"Tab. 1 - "&amp;Comune</f>
        <v>Tab. 1 - </v>
      </c>
      <c r="B2" s="1105" t="s">
        <v>178</v>
      </c>
      <c r="C2" s="1106"/>
      <c r="D2" s="1107" t="s">
        <v>179</v>
      </c>
    </row>
    <row r="3" spans="1:4" ht="12.75" hidden="1" outlineLevel="1">
      <c r="A3" s="13"/>
      <c r="B3" s="73" t="s">
        <v>180</v>
      </c>
      <c r="C3" s="74" t="s">
        <v>181</v>
      </c>
      <c r="D3" s="1108"/>
    </row>
    <row r="4" spans="1:4" ht="3.75" customHeight="1" hidden="1" outlineLevel="1" thickBot="1">
      <c r="A4" s="13"/>
      <c r="B4" s="81"/>
      <c r="C4" s="81"/>
      <c r="D4" s="82"/>
    </row>
    <row r="5" spans="1:4" ht="3" customHeight="1" hidden="1" outlineLevel="1">
      <c r="A5" s="13"/>
      <c r="B5" s="13"/>
      <c r="C5" s="83"/>
      <c r="D5" s="83"/>
    </row>
    <row r="6" spans="1:9" ht="18" customHeight="1" hidden="1" outlineLevel="1">
      <c r="A6" s="874" t="s">
        <v>858</v>
      </c>
      <c r="B6" s="876"/>
      <c r="C6" s="876"/>
      <c r="D6" s="856">
        <v>0</v>
      </c>
      <c r="F6" s="7" t="s">
        <v>518</v>
      </c>
      <c r="I6" s="872" t="s">
        <v>857</v>
      </c>
    </row>
    <row r="7" spans="1:4" ht="18" customHeight="1" hidden="1" outlineLevel="1">
      <c r="A7" s="875" t="s">
        <v>8</v>
      </c>
      <c r="B7" s="85">
        <v>0</v>
      </c>
      <c r="C7" s="85">
        <v>0</v>
      </c>
      <c r="D7" s="85">
        <f>B7+C7</f>
        <v>0</v>
      </c>
    </row>
    <row r="8" spans="1:4" ht="18" customHeight="1" hidden="1" outlineLevel="1">
      <c r="A8" s="875" t="s">
        <v>9</v>
      </c>
      <c r="B8" s="85">
        <v>0</v>
      </c>
      <c r="C8" s="85">
        <v>0</v>
      </c>
      <c r="D8" s="85">
        <f aca="true" t="shared" si="0" ref="D8:D26">B8+C8</f>
        <v>0</v>
      </c>
    </row>
    <row r="9" spans="1:4" ht="18" customHeight="1" hidden="1" outlineLevel="1">
      <c r="A9" s="875" t="s">
        <v>10</v>
      </c>
      <c r="B9" s="85">
        <v>0</v>
      </c>
      <c r="C9" s="85">
        <v>0</v>
      </c>
      <c r="D9" s="85">
        <f t="shared" si="0"/>
        <v>0</v>
      </c>
    </row>
    <row r="10" spans="1:4" ht="18" customHeight="1" hidden="1" outlineLevel="1">
      <c r="A10" s="874" t="s">
        <v>859</v>
      </c>
      <c r="B10" s="877">
        <f>SUM(B7:B9)</f>
        <v>0</v>
      </c>
      <c r="C10" s="877">
        <f>SUM(C7:C9)</f>
        <v>0</v>
      </c>
      <c r="D10" s="877">
        <f>SUM(D7:D9)</f>
        <v>0</v>
      </c>
    </row>
    <row r="11" spans="1:4" ht="18" customHeight="1" hidden="1" outlineLevel="1">
      <c r="A11" s="874" t="s">
        <v>860</v>
      </c>
      <c r="B11" s="877">
        <v>0</v>
      </c>
      <c r="C11" s="877">
        <v>0</v>
      </c>
      <c r="D11" s="877">
        <f t="shared" si="0"/>
        <v>0</v>
      </c>
    </row>
    <row r="12" spans="1:4" ht="18" customHeight="1" hidden="1" outlineLevel="1">
      <c r="A12" s="874" t="s">
        <v>861</v>
      </c>
      <c r="B12" s="877">
        <f>SUM(B13:B15)</f>
        <v>0</v>
      </c>
      <c r="C12" s="877">
        <f>SUM(C13:C15)</f>
        <v>0</v>
      </c>
      <c r="D12" s="877">
        <f>SUM(D13:D15)</f>
        <v>0</v>
      </c>
    </row>
    <row r="13" spans="1:4" ht="18" customHeight="1" hidden="1" outlineLevel="1">
      <c r="A13" s="880" t="s">
        <v>862</v>
      </c>
      <c r="B13" s="85">
        <v>0</v>
      </c>
      <c r="C13" s="85">
        <v>0</v>
      </c>
      <c r="D13" s="85">
        <f t="shared" si="0"/>
        <v>0</v>
      </c>
    </row>
    <row r="14" spans="1:4" ht="18" customHeight="1" hidden="1" outlineLevel="1">
      <c r="A14" s="880" t="s">
        <v>863</v>
      </c>
      <c r="B14" s="85">
        <v>0</v>
      </c>
      <c r="C14" s="85">
        <v>0</v>
      </c>
      <c r="D14" s="85">
        <f t="shared" si="0"/>
        <v>0</v>
      </c>
    </row>
    <row r="15" spans="1:4" ht="18" customHeight="1" hidden="1" outlineLevel="1">
      <c r="A15" s="880" t="s">
        <v>864</v>
      </c>
      <c r="B15" s="85">
        <v>0</v>
      </c>
      <c r="C15" s="85">
        <v>0</v>
      </c>
      <c r="D15" s="85">
        <f t="shared" si="0"/>
        <v>0</v>
      </c>
    </row>
    <row r="16" spans="1:4" ht="18" customHeight="1" hidden="1" outlineLevel="1">
      <c r="A16" s="878" t="s">
        <v>865</v>
      </c>
      <c r="B16" s="879">
        <f>+B10-B11-B12</f>
        <v>0</v>
      </c>
      <c r="C16" s="879">
        <f>+C10-C11-C12</f>
        <v>0</v>
      </c>
      <c r="D16" s="879">
        <f>+D10-D11-D12</f>
        <v>0</v>
      </c>
    </row>
    <row r="17" spans="1:4" ht="18" customHeight="1" hidden="1" outlineLevel="1">
      <c r="A17" s="875" t="s">
        <v>135</v>
      </c>
      <c r="B17" s="85">
        <v>0</v>
      </c>
      <c r="C17" s="85">
        <v>0</v>
      </c>
      <c r="D17" s="85">
        <f t="shared" si="0"/>
        <v>0</v>
      </c>
    </row>
    <row r="18" spans="1:4" ht="18" customHeight="1" hidden="1" outlineLevel="1">
      <c r="A18" s="875" t="s">
        <v>866</v>
      </c>
      <c r="B18" s="85">
        <f>SUM(B19:B21)</f>
        <v>0</v>
      </c>
      <c r="C18" s="85">
        <f>SUM(C19:C21)</f>
        <v>0</v>
      </c>
      <c r="D18" s="85">
        <f>SUM(D19:D21)</f>
        <v>0</v>
      </c>
    </row>
    <row r="19" spans="1:4" ht="18" customHeight="1" hidden="1" outlineLevel="1">
      <c r="A19" s="880" t="s">
        <v>867</v>
      </c>
      <c r="B19" s="85">
        <v>0</v>
      </c>
      <c r="C19" s="85">
        <v>0</v>
      </c>
      <c r="D19" s="85">
        <f t="shared" si="0"/>
        <v>0</v>
      </c>
    </row>
    <row r="20" spans="1:4" ht="18" customHeight="1" hidden="1" outlineLevel="1">
      <c r="A20" s="880" t="s">
        <v>868</v>
      </c>
      <c r="B20" s="85">
        <v>0</v>
      </c>
      <c r="C20" s="85">
        <v>0</v>
      </c>
      <c r="D20" s="85">
        <f t="shared" si="0"/>
        <v>0</v>
      </c>
    </row>
    <row r="21" spans="1:4" ht="18" customHeight="1" hidden="1" outlineLevel="1">
      <c r="A21" s="880" t="s">
        <v>869</v>
      </c>
      <c r="B21" s="85">
        <v>0</v>
      </c>
      <c r="C21" s="85">
        <v>0</v>
      </c>
      <c r="D21" s="85">
        <f t="shared" si="0"/>
        <v>0</v>
      </c>
    </row>
    <row r="22" spans="1:4" ht="18" customHeight="1" hidden="1" outlineLevel="1">
      <c r="A22" s="874" t="s">
        <v>870</v>
      </c>
      <c r="B22" s="877">
        <f>SUM(B17,B18)</f>
        <v>0</v>
      </c>
      <c r="C22" s="877">
        <f>SUM(C17,C18)</f>
        <v>0</v>
      </c>
      <c r="D22" s="877">
        <f>SUM(D17,D18)</f>
        <v>0</v>
      </c>
    </row>
    <row r="23" spans="1:4" ht="18" customHeight="1" hidden="1" outlineLevel="1">
      <c r="A23" s="874" t="s">
        <v>871</v>
      </c>
      <c r="B23" s="877">
        <v>0</v>
      </c>
      <c r="C23" s="877">
        <v>0</v>
      </c>
      <c r="D23" s="877">
        <f t="shared" si="0"/>
        <v>0</v>
      </c>
    </row>
    <row r="24" spans="1:4" ht="18" customHeight="1" hidden="1" outlineLevel="1">
      <c r="A24" s="878" t="s">
        <v>872</v>
      </c>
      <c r="B24" s="879">
        <f>+B22-B23</f>
        <v>0</v>
      </c>
      <c r="C24" s="879">
        <f>+C22-C23</f>
        <v>0</v>
      </c>
      <c r="D24" s="879">
        <f>+D22-D23</f>
        <v>0</v>
      </c>
    </row>
    <row r="25" spans="1:4" ht="18" customHeight="1" hidden="1" outlineLevel="1">
      <c r="A25" s="874" t="s">
        <v>873</v>
      </c>
      <c r="B25" s="877">
        <v>0</v>
      </c>
      <c r="C25" s="877">
        <v>0</v>
      </c>
      <c r="D25" s="877">
        <f t="shared" si="0"/>
        <v>0</v>
      </c>
    </row>
    <row r="26" spans="1:4" ht="18" customHeight="1" hidden="1" outlineLevel="1">
      <c r="A26" s="881" t="s">
        <v>874</v>
      </c>
      <c r="B26" s="877">
        <v>0</v>
      </c>
      <c r="C26" s="877">
        <v>0</v>
      </c>
      <c r="D26" s="877">
        <f t="shared" si="0"/>
        <v>0</v>
      </c>
    </row>
    <row r="27" spans="1:4" ht="18" customHeight="1" hidden="1" outlineLevel="1" thickBot="1">
      <c r="A27" s="882" t="s">
        <v>875</v>
      </c>
      <c r="B27" s="883"/>
      <c r="C27" s="884"/>
      <c r="D27" s="885">
        <f>+D6+D16+D24+D25-D26</f>
        <v>0</v>
      </c>
    </row>
    <row r="28" spans="1:4" ht="18" customHeight="1" hidden="1" outlineLevel="1">
      <c r="A28" s="86" t="s">
        <v>184</v>
      </c>
      <c r="B28" s="87"/>
      <c r="C28" s="87"/>
      <c r="D28" s="75">
        <v>0</v>
      </c>
    </row>
    <row r="29" spans="1:4" ht="18" customHeight="1" hidden="1" outlineLevel="1">
      <c r="A29" s="76" t="s">
        <v>16</v>
      </c>
      <c r="B29" s="88"/>
      <c r="C29" s="88"/>
      <c r="D29" s="856">
        <f>+D27-D28</f>
        <v>0</v>
      </c>
    </row>
    <row r="30" spans="2:3" ht="12.75" collapsed="1">
      <c r="B30" s="6"/>
      <c r="C30" s="6"/>
    </row>
    <row r="32" spans="1:6" ht="12.75">
      <c r="A32" s="855" t="str">
        <f>"Tab. 1 - "&amp;Comune</f>
        <v>Tab. 1 - </v>
      </c>
      <c r="B32" s="12">
        <v>2011</v>
      </c>
      <c r="C32" s="12">
        <v>2012</v>
      </c>
      <c r="D32" s="12">
        <v>2013</v>
      </c>
      <c r="F32" s="3" t="s">
        <v>519</v>
      </c>
    </row>
    <row r="33" spans="1:4" ht="12.75">
      <c r="A33" s="71" t="s">
        <v>185</v>
      </c>
      <c r="B33" s="164">
        <v>0</v>
      </c>
      <c r="C33" s="164">
        <v>0</v>
      </c>
      <c r="D33" s="164">
        <v>0</v>
      </c>
    </row>
    <row r="34" spans="1:4" ht="12.75">
      <c r="A34" s="71" t="s">
        <v>186</v>
      </c>
      <c r="B34" s="164">
        <v>0</v>
      </c>
      <c r="C34" s="164">
        <v>0</v>
      </c>
      <c r="D34" s="164">
        <v>0</v>
      </c>
    </row>
    <row r="39" spans="1:6" ht="12.75">
      <c r="A39" s="855" t="str">
        <f>"Tab. 3 - Comune di "&amp;Comune</f>
        <v>Tab. 3 - Comune di </v>
      </c>
      <c r="B39" s="12">
        <v>2011</v>
      </c>
      <c r="C39" s="12">
        <v>2012</v>
      </c>
      <c r="D39" s="12">
        <v>2013</v>
      </c>
      <c r="F39" s="3" t="s">
        <v>881</v>
      </c>
    </row>
    <row r="40" spans="1:4" ht="12.75">
      <c r="A40" s="11" t="s">
        <v>876</v>
      </c>
      <c r="B40" s="164">
        <v>0</v>
      </c>
      <c r="C40" s="164">
        <v>0</v>
      </c>
      <c r="D40" s="164">
        <v>0</v>
      </c>
    </row>
    <row r="41" spans="1:4" ht="12.75">
      <c r="A41" s="11" t="s">
        <v>877</v>
      </c>
      <c r="B41" s="164">
        <v>0</v>
      </c>
      <c r="C41" s="164">
        <v>0</v>
      </c>
      <c r="D41" s="164">
        <v>0</v>
      </c>
    </row>
    <row r="42" spans="1:4" ht="12.75">
      <c r="A42" s="11" t="s">
        <v>882</v>
      </c>
      <c r="B42" s="164">
        <v>0</v>
      </c>
      <c r="C42" s="164">
        <v>0</v>
      </c>
      <c r="D42" s="164">
        <v>0</v>
      </c>
    </row>
    <row r="43" spans="1:4" ht="12.75">
      <c r="A43" s="11" t="s">
        <v>878</v>
      </c>
      <c r="B43" s="164">
        <v>0</v>
      </c>
      <c r="C43" s="164">
        <v>0</v>
      </c>
      <c r="D43" s="164">
        <v>0</v>
      </c>
    </row>
    <row r="44" spans="1:4" ht="12.75">
      <c r="A44" s="11" t="s">
        <v>879</v>
      </c>
      <c r="B44" s="164">
        <v>0</v>
      </c>
      <c r="C44" s="164">
        <v>0</v>
      </c>
      <c r="D44" s="164">
        <v>0</v>
      </c>
    </row>
    <row r="45" spans="1:4" ht="12.75">
      <c r="A45" s="539" t="s">
        <v>880</v>
      </c>
      <c r="B45" s="164">
        <v>0</v>
      </c>
      <c r="C45" s="164">
        <v>0</v>
      </c>
      <c r="D45" s="164">
        <v>0</v>
      </c>
    </row>
  </sheetData>
  <sheetProtection/>
  <mergeCells count="2">
    <mergeCell ref="B2:C2"/>
    <mergeCell ref="D2:D3"/>
  </mergeCells>
  <hyperlinks>
    <hyperlink ref="F1" location="'Inserimento dati'!A1" display="InsDati"/>
    <hyperlink ref="G1" location="'Vai A'!A1" display="Vai a …"/>
  </hyperlinks>
  <printOptions/>
  <pageMargins left="0.7" right="0.7" top="0.75" bottom="0.75" header="0.3" footer="0.3"/>
  <pageSetup horizontalDpi="600" verticalDpi="600" orientation="portrait" paperSize="9" r:id="rId1"/>
  <ignoredErrors>
    <ignoredError sqref="D12" formula="1"/>
    <ignoredError sqref="B12:C1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06" zoomScaleNormal="106" zoomScalePageLayoutView="0" workbookViewId="0" topLeftCell="A1">
      <selection activeCell="D1" sqref="D1"/>
    </sheetView>
  </sheetViews>
  <sheetFormatPr defaultColWidth="9.140625" defaultRowHeight="12.75"/>
  <cols>
    <col min="1" max="1" width="45.28125" style="21" customWidth="1"/>
    <col min="2" max="4" width="13.8515625" style="21" customWidth="1"/>
    <col min="5" max="5" width="16.8515625" style="21" bestFit="1" customWidth="1"/>
    <col min="6" max="8" width="21.140625" style="21" customWidth="1"/>
    <col min="9" max="16384" width="9.140625" style="21" customWidth="1"/>
  </cols>
  <sheetData>
    <row r="1" spans="1:4" ht="15.75">
      <c r="A1" s="384" t="s">
        <v>395</v>
      </c>
      <c r="C1" s="684" t="s">
        <v>624</v>
      </c>
      <c r="D1" s="748" t="s">
        <v>777</v>
      </c>
    </row>
    <row r="2" spans="4:6" ht="15">
      <c r="D2" s="855" t="str">
        <f>"Tab. 50 - Comune di "&amp;Comune</f>
        <v>Tab. 50 - Comune di </v>
      </c>
      <c r="F2" s="361" t="s">
        <v>556</v>
      </c>
    </row>
    <row r="3" spans="2:8" ht="15.75" thickBot="1">
      <c r="B3" s="360">
        <v>2011</v>
      </c>
      <c r="C3" s="360">
        <v>2012</v>
      </c>
      <c r="D3" s="360">
        <v>2013</v>
      </c>
      <c r="H3" s="855" t="str">
        <f>"Tab. 51 - Comune di "&amp;Comune</f>
        <v>Tab. 51 - Comune di </v>
      </c>
    </row>
    <row r="4" spans="1:4" ht="6" customHeight="1" thickTop="1">
      <c r="A4" s="275"/>
      <c r="B4" s="276"/>
      <c r="C4" s="276"/>
      <c r="D4" s="276"/>
    </row>
    <row r="5" spans="1:8" ht="15">
      <c r="A5" s="362" t="s">
        <v>396</v>
      </c>
      <c r="B5" s="277"/>
      <c r="C5" s="277"/>
      <c r="D5" s="277"/>
      <c r="F5" s="222" t="s">
        <v>245</v>
      </c>
      <c r="G5" s="222" t="s">
        <v>570</v>
      </c>
      <c r="H5" s="222" t="s">
        <v>951</v>
      </c>
    </row>
    <row r="6" spans="1:8" ht="15">
      <c r="A6" s="991" t="s">
        <v>397</v>
      </c>
      <c r="B6" s="363"/>
      <c r="C6" s="363"/>
      <c r="D6" s="363"/>
      <c r="F6" s="319">
        <v>0</v>
      </c>
      <c r="G6" s="319">
        <v>0</v>
      </c>
      <c r="H6" s="319">
        <v>0</v>
      </c>
    </row>
    <row r="7" spans="1:6" ht="15">
      <c r="A7" s="991" t="s">
        <v>398</v>
      </c>
      <c r="B7" s="278"/>
      <c r="C7" s="278"/>
      <c r="D7" s="278"/>
      <c r="F7" s="488" t="s">
        <v>557</v>
      </c>
    </row>
    <row r="8" spans="1:8" ht="15">
      <c r="A8" s="991" t="s">
        <v>399</v>
      </c>
      <c r="B8" s="364"/>
      <c r="C8" s="364"/>
      <c r="D8" s="364"/>
      <c r="F8" s="222" t="str">
        <f>+F5</f>
        <v>Rendiconto 2011</v>
      </c>
      <c r="G8" s="222" t="str">
        <f>+G5</f>
        <v>Rendiconto 2012</v>
      </c>
      <c r="H8" s="222" t="str">
        <f>+H5</f>
        <v>Rendiconto 2013</v>
      </c>
    </row>
    <row r="9" spans="1:8" ht="15">
      <c r="A9" s="991" t="s">
        <v>400</v>
      </c>
      <c r="B9" s="278"/>
      <c r="C9" s="278"/>
      <c r="D9" s="278"/>
      <c r="F9" s="365">
        <f>+ECO11</f>
        <v>0</v>
      </c>
      <c r="G9" s="365">
        <f>+ECO12</f>
        <v>0</v>
      </c>
      <c r="H9" s="365">
        <f>+ECO13</f>
        <v>0</v>
      </c>
    </row>
    <row r="10" spans="1:8" ht="15">
      <c r="A10" s="991" t="s">
        <v>401</v>
      </c>
      <c r="B10" s="278"/>
      <c r="C10" s="278"/>
      <c r="D10" s="278"/>
      <c r="F10" s="366" t="e">
        <f>+ROUND(F6/F9,4)</f>
        <v>#DIV/0!</v>
      </c>
      <c r="G10" s="366" t="e">
        <f>+ROUND(G6/G9,4)</f>
        <v>#DIV/0!</v>
      </c>
      <c r="H10" s="366" t="e">
        <f>+ROUND(H6/H9,4)</f>
        <v>#DIV/0!</v>
      </c>
    </row>
    <row r="11" spans="1:4" ht="1.5" customHeight="1">
      <c r="A11" s="279"/>
      <c r="B11" s="367"/>
      <c r="C11" s="367"/>
      <c r="D11" s="367"/>
    </row>
    <row r="12" spans="1:4" ht="15">
      <c r="A12" s="368" t="s">
        <v>6</v>
      </c>
      <c r="B12" s="280">
        <f>SUM(B5:B10)</f>
        <v>0</v>
      </c>
      <c r="C12" s="280">
        <f>SUM(C5:C10)</f>
        <v>0</v>
      </c>
      <c r="D12" s="280">
        <f>SUM(D5:D10)</f>
        <v>0</v>
      </c>
    </row>
  </sheetData>
  <sheetProtection/>
  <hyperlinks>
    <hyperlink ref="C1" location="'Inserimento dati'!A1" display="InsDati"/>
    <hyperlink ref="D1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8.57421875" style="0" customWidth="1"/>
    <col min="2" max="2" width="24.28125" style="0" customWidth="1"/>
    <col min="3" max="5" width="13.7109375" style="0" customWidth="1"/>
    <col min="6" max="6" width="11.140625" style="0" customWidth="1"/>
  </cols>
  <sheetData>
    <row r="2" ht="12.75">
      <c r="A2" s="3" t="s">
        <v>568</v>
      </c>
    </row>
    <row r="4" spans="1:6" ht="22.5">
      <c r="A4" s="1196" t="s">
        <v>1</v>
      </c>
      <c r="B4" s="1135"/>
      <c r="C4" s="95" t="s">
        <v>226</v>
      </c>
      <c r="D4" s="95" t="s">
        <v>569</v>
      </c>
      <c r="E4" s="95" t="s">
        <v>524</v>
      </c>
      <c r="F4" s="96" t="s">
        <v>217</v>
      </c>
    </row>
    <row r="5" spans="1:6" ht="12.75">
      <c r="A5" s="123" t="s">
        <v>73</v>
      </c>
      <c r="B5" s="124" t="s">
        <v>218</v>
      </c>
      <c r="C5" s="19" t="e">
        <f>+Entrate_titolo_primo_prev_iniz_2011</f>
        <v>#NAME?</v>
      </c>
      <c r="D5" s="19" t="e">
        <f>+Entrate_titolo_primo_cons_2011</f>
        <v>#NAME?</v>
      </c>
      <c r="E5" s="19" t="e">
        <f aca="true" t="shared" si="0" ref="E5:E11">+D5-C5</f>
        <v>#NAME?</v>
      </c>
      <c r="F5" s="15" t="e">
        <f aca="true" t="shared" si="1" ref="F5:F11">E5/C5</f>
        <v>#NAME?</v>
      </c>
    </row>
    <row r="6" spans="1:6" ht="12.75">
      <c r="A6" s="125" t="s">
        <v>74</v>
      </c>
      <c r="B6" s="126" t="s">
        <v>62</v>
      </c>
      <c r="C6" s="20" t="e">
        <f>+Entrate_titolo_secondo_prev_iniz_2011</f>
        <v>#NAME?</v>
      </c>
      <c r="D6" s="20" t="e">
        <f>+Entrate_titolo_secondo_cons_2011</f>
        <v>#NAME?</v>
      </c>
      <c r="E6" s="20" t="e">
        <f t="shared" si="0"/>
        <v>#NAME?</v>
      </c>
      <c r="F6" s="463" t="e">
        <f t="shared" si="1"/>
        <v>#NAME?</v>
      </c>
    </row>
    <row r="7" spans="1:6" ht="12.75">
      <c r="A7" s="125" t="s">
        <v>75</v>
      </c>
      <c r="B7" s="126" t="s">
        <v>5</v>
      </c>
      <c r="C7" s="20" t="e">
        <f>+Entrate_titolo_terzo_prev_iniz_2011</f>
        <v>#NAME?</v>
      </c>
      <c r="D7" s="20" t="e">
        <f>+Entrate_titolo_terzo_cons_2011</f>
        <v>#NAME?</v>
      </c>
      <c r="E7" s="20" t="e">
        <f t="shared" si="0"/>
        <v>#NAME?</v>
      </c>
      <c r="F7" s="463" t="e">
        <f t="shared" si="1"/>
        <v>#NAME?</v>
      </c>
    </row>
    <row r="8" spans="1:6" ht="12.75">
      <c r="A8" s="125" t="s">
        <v>76</v>
      </c>
      <c r="B8" s="126" t="s">
        <v>219</v>
      </c>
      <c r="C8" s="20" t="e">
        <f>+Entrate_titolo_quarto_prev_iniz_2011</f>
        <v>#NAME?</v>
      </c>
      <c r="D8" s="20" t="e">
        <f>+Entrate_titolo_quarto_cons_2011</f>
        <v>#NAME?</v>
      </c>
      <c r="E8" s="20" t="e">
        <f t="shared" si="0"/>
        <v>#NAME?</v>
      </c>
      <c r="F8" s="463" t="e">
        <f t="shared" si="1"/>
        <v>#NAME?</v>
      </c>
    </row>
    <row r="9" spans="1:6" ht="12.75">
      <c r="A9" s="125" t="s">
        <v>77</v>
      </c>
      <c r="B9" s="126" t="s">
        <v>220</v>
      </c>
      <c r="C9" s="20" t="e">
        <f>+Entrate_titolo_quinto_prev_iniz_2011</f>
        <v>#NAME?</v>
      </c>
      <c r="D9" s="20" t="e">
        <f>+Entrate_titolo_quinto_cons_2011</f>
        <v>#NAME?</v>
      </c>
      <c r="E9" s="20" t="e">
        <f t="shared" si="0"/>
        <v>#NAME?</v>
      </c>
      <c r="F9" s="463" t="e">
        <f t="shared" si="1"/>
        <v>#NAME?</v>
      </c>
    </row>
    <row r="10" spans="1:6" ht="12.75">
      <c r="A10" s="127" t="s">
        <v>221</v>
      </c>
      <c r="B10" s="128" t="s">
        <v>222</v>
      </c>
      <c r="C10" s="129" t="e">
        <f>+Entrate_titolo_sesto_prev_iniz_2011</f>
        <v>#NAME?</v>
      </c>
      <c r="D10" s="129" t="e">
        <f>+Entrate_titolo_sesto_cons_2011</f>
        <v>#NAME?</v>
      </c>
      <c r="E10" s="129" t="e">
        <f t="shared" si="0"/>
        <v>#NAME?</v>
      </c>
      <c r="F10" s="464" t="e">
        <f t="shared" si="1"/>
        <v>#NAME?</v>
      </c>
    </row>
    <row r="11" spans="1:6" ht="13.5" thickBot="1">
      <c r="A11" s="130" t="s">
        <v>227</v>
      </c>
      <c r="B11" s="131"/>
      <c r="C11" s="132" t="e">
        <f>+Avanzo_x_spesa_corrente_prev_iniz_2011+Avanzo_x_spesa_capitale_prev_iniz_2011</f>
        <v>#NAME?</v>
      </c>
      <c r="D11" s="132" t="e">
        <f>+Avanzo_x_spesa_corrente_cons_2011+Avanzo_x_spesa_capitale_cons_2011</f>
        <v>#NAME?</v>
      </c>
      <c r="E11" s="132" t="e">
        <f t="shared" si="0"/>
        <v>#NAME?</v>
      </c>
      <c r="F11" s="465" t="e">
        <f t="shared" si="1"/>
        <v>#NAME?</v>
      </c>
    </row>
    <row r="12" spans="1:6" ht="13.5" thickBot="1">
      <c r="A12" s="1197" t="s">
        <v>46</v>
      </c>
      <c r="B12" s="1198"/>
      <c r="C12" s="133" t="e">
        <f>C5+C6+C7+C8+C9+C10+C11</f>
        <v>#NAME?</v>
      </c>
      <c r="D12" s="133" t="e">
        <f>D5+D6+D7+D8+D9+D10+D11</f>
        <v>#NAME?</v>
      </c>
      <c r="E12" s="133" t="e">
        <f>D12-C12</f>
        <v>#NAME?</v>
      </c>
      <c r="F12" s="462" t="e">
        <f>E12/C12</f>
        <v>#NAME?</v>
      </c>
    </row>
    <row r="13" spans="1:6" ht="13.5" thickTop="1">
      <c r="A13" s="13"/>
      <c r="B13" s="13"/>
      <c r="C13" s="97"/>
      <c r="D13" s="97"/>
      <c r="E13" s="97"/>
      <c r="F13" s="98"/>
    </row>
    <row r="14" spans="1:6" ht="22.5">
      <c r="A14" s="1196" t="s">
        <v>2</v>
      </c>
      <c r="B14" s="1135"/>
      <c r="C14" s="95" t="s">
        <v>226</v>
      </c>
      <c r="D14" s="95" t="s">
        <v>569</v>
      </c>
      <c r="E14" s="95" t="s">
        <v>524</v>
      </c>
      <c r="F14" s="99" t="s">
        <v>217</v>
      </c>
    </row>
    <row r="15" spans="1:6" ht="12.75">
      <c r="A15" s="127" t="s">
        <v>73</v>
      </c>
      <c r="B15" s="128" t="s">
        <v>3</v>
      </c>
      <c r="C15" s="132" t="e">
        <f>+Spese_titolo_primo_prev_iniz_2011</f>
        <v>#NAME?</v>
      </c>
      <c r="D15" s="132" t="e">
        <f>+Spese_titolo_primo_cons_2011</f>
        <v>#NAME?</v>
      </c>
      <c r="E15" s="132" t="e">
        <f>+D15-C15</f>
        <v>#NAME?</v>
      </c>
      <c r="F15" s="466" t="e">
        <f>E15/C15</f>
        <v>#NAME?</v>
      </c>
    </row>
    <row r="16" spans="1:6" ht="12.75">
      <c r="A16" s="134" t="s">
        <v>74</v>
      </c>
      <c r="B16" s="135" t="s">
        <v>4</v>
      </c>
      <c r="C16" s="136" t="e">
        <f>+Spese_titolo_secondo_prev_iniz_2011</f>
        <v>#NAME?</v>
      </c>
      <c r="D16" s="136" t="e">
        <f>+Spese_titolo_secondo_cons_2011</f>
        <v>#NAME?</v>
      </c>
      <c r="E16" s="136" t="e">
        <f>+D16-C16</f>
        <v>#NAME?</v>
      </c>
      <c r="F16" s="467" t="e">
        <f>E16/C16</f>
        <v>#NAME?</v>
      </c>
    </row>
    <row r="17" spans="1:6" ht="12.75">
      <c r="A17" s="134" t="s">
        <v>75</v>
      </c>
      <c r="B17" s="135" t="s">
        <v>223</v>
      </c>
      <c r="C17" s="136" t="e">
        <f>+Spese_titolo_terzo_prev_iniz_2011</f>
        <v>#NAME?</v>
      </c>
      <c r="D17" s="136" t="e">
        <f>+Spese_titolo_terzo_cons_2011</f>
        <v>#NAME?</v>
      </c>
      <c r="E17" s="136" t="e">
        <f>+D17-C17</f>
        <v>#NAME?</v>
      </c>
      <c r="F17" s="467" t="e">
        <f>E17/C17</f>
        <v>#NAME?</v>
      </c>
    </row>
    <row r="18" spans="1:6" ht="12.75">
      <c r="A18" s="137" t="s">
        <v>76</v>
      </c>
      <c r="B18" s="138" t="s">
        <v>224</v>
      </c>
      <c r="C18" s="139" t="e">
        <f>+Spese_titolo_quarto_prev_iniz_2011</f>
        <v>#NAME?</v>
      </c>
      <c r="D18" s="139" t="e">
        <f>+Spese_titolo_quarto_cons_2011</f>
        <v>#NAME?</v>
      </c>
      <c r="E18" s="139" t="e">
        <f>+D18-C18</f>
        <v>#NAME?</v>
      </c>
      <c r="F18" s="468" t="e">
        <f>E18/C18</f>
        <v>#NAME?</v>
      </c>
    </row>
    <row r="19" spans="1:6" ht="13.5" thickBot="1">
      <c r="A19" s="1199" t="s">
        <v>46</v>
      </c>
      <c r="B19" s="1200"/>
      <c r="C19" s="140" t="e">
        <f>C15+C16+C17+C18</f>
        <v>#NAME?</v>
      </c>
      <c r="D19" s="140" t="e">
        <f>D15+D16+D17+D18</f>
        <v>#NAME?</v>
      </c>
      <c r="E19" s="140" t="e">
        <f>D19-C19</f>
        <v>#NAME?</v>
      </c>
      <c r="F19" s="469" t="e">
        <f>E19/C19</f>
        <v>#NAME?</v>
      </c>
    </row>
    <row r="20" ht="13.5" thickTop="1"/>
    <row r="22" spans="1:6" ht="12.75">
      <c r="A22" s="459" t="s">
        <v>523</v>
      </c>
      <c r="B22" s="460"/>
      <c r="C22" s="460"/>
      <c r="D22" s="460"/>
      <c r="E22" s="460"/>
      <c r="F22" s="461"/>
    </row>
  </sheetData>
  <sheetProtection/>
  <mergeCells count="4">
    <mergeCell ref="A4:B4"/>
    <mergeCell ref="A12:B12"/>
    <mergeCell ref="A14:B14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B1">
      <selection activeCell="H4" sqref="H4"/>
    </sheetView>
  </sheetViews>
  <sheetFormatPr defaultColWidth="9.140625" defaultRowHeight="12.75"/>
  <cols>
    <col min="1" max="1" width="44.28125" style="21" customWidth="1"/>
    <col min="2" max="2" width="3.421875" style="22" bestFit="1" customWidth="1"/>
    <col min="3" max="4" width="17.421875" style="21" customWidth="1"/>
    <col min="5" max="6" width="9.140625" style="21" customWidth="1"/>
    <col min="7" max="7" width="60.00390625" style="21" customWidth="1"/>
    <col min="8" max="8" width="20.421875" style="21" customWidth="1"/>
    <col min="9" max="16384" width="9.140625" style="21" customWidth="1"/>
  </cols>
  <sheetData>
    <row r="1" spans="1:6" ht="15">
      <c r="A1" s="369" t="s">
        <v>402</v>
      </c>
      <c r="F1" s="555" t="s">
        <v>624</v>
      </c>
    </row>
    <row r="2" spans="1:6" ht="15">
      <c r="A2" s="369"/>
      <c r="F2" s="748" t="s">
        <v>777</v>
      </c>
    </row>
    <row r="3" spans="1:7" ht="15">
      <c r="A3" s="370" t="s">
        <v>558</v>
      </c>
      <c r="G3" s="370" t="s">
        <v>403</v>
      </c>
    </row>
    <row r="4" spans="4:8" ht="15">
      <c r="D4" s="855" t="str">
        <f>"Tab. 56 - Comune di "&amp;Comune</f>
        <v>Tab. 56 - Comune di </v>
      </c>
      <c r="H4" s="855" t="str">
        <f>"Tab. 57 - Comune di "&amp;Comune</f>
        <v>Tab. 57 - Comune di </v>
      </c>
    </row>
    <row r="5" spans="1:8" ht="15">
      <c r="A5" s="199" t="s">
        <v>404</v>
      </c>
      <c r="B5" s="371"/>
      <c r="C5" s="372"/>
      <c r="D5" s="798"/>
      <c r="G5" s="373" t="s">
        <v>405</v>
      </c>
      <c r="H5" s="807" t="s">
        <v>849</v>
      </c>
    </row>
    <row r="6" spans="1:8" ht="15">
      <c r="A6" s="374" t="s">
        <v>406</v>
      </c>
      <c r="B6" s="375" t="s">
        <v>7</v>
      </c>
      <c r="C6" s="376"/>
      <c r="D6" s="377"/>
      <c r="G6" s="489" t="s">
        <v>407</v>
      </c>
      <c r="H6" s="490">
        <v>0</v>
      </c>
    </row>
    <row r="7" spans="1:8" ht="15">
      <c r="A7" s="374" t="s">
        <v>408</v>
      </c>
      <c r="B7" s="375" t="s">
        <v>409</v>
      </c>
      <c r="C7" s="378"/>
      <c r="D7" s="377"/>
      <c r="G7" s="489" t="s">
        <v>410</v>
      </c>
      <c r="H7" s="490">
        <v>0</v>
      </c>
    </row>
    <row r="8" spans="1:8" ht="15">
      <c r="A8" s="374" t="s">
        <v>411</v>
      </c>
      <c r="B8" s="379" t="s">
        <v>412</v>
      </c>
      <c r="C8" s="378"/>
      <c r="D8" s="377"/>
      <c r="G8" s="489" t="s">
        <v>413</v>
      </c>
      <c r="H8" s="490">
        <v>0</v>
      </c>
    </row>
    <row r="9" spans="1:8" ht="15">
      <c r="A9" s="374" t="s">
        <v>414</v>
      </c>
      <c r="B9" s="379" t="s">
        <v>412</v>
      </c>
      <c r="C9" s="378"/>
      <c r="D9" s="377"/>
      <c r="G9" s="489" t="s">
        <v>415</v>
      </c>
      <c r="H9" s="490">
        <v>0</v>
      </c>
    </row>
    <row r="10" spans="1:8" ht="15">
      <c r="A10" s="374" t="s">
        <v>416</v>
      </c>
      <c r="B10" s="375" t="s">
        <v>409</v>
      </c>
      <c r="C10" s="378"/>
      <c r="D10" s="377"/>
      <c r="G10" s="489" t="s">
        <v>417</v>
      </c>
      <c r="H10" s="490">
        <v>0</v>
      </c>
    </row>
    <row r="11" spans="1:8" ht="15">
      <c r="A11" s="799" t="s">
        <v>418</v>
      </c>
      <c r="B11" s="800"/>
      <c r="C11" s="801"/>
      <c r="D11" s="802">
        <f>-C6+C7-C8-C9+C10</f>
        <v>0</v>
      </c>
      <c r="G11" s="489" t="s">
        <v>419</v>
      </c>
      <c r="H11" s="490">
        <v>0</v>
      </c>
    </row>
    <row r="12" spans="1:8" ht="15">
      <c r="A12" s="374"/>
      <c r="B12" s="379"/>
      <c r="C12" s="380"/>
      <c r="D12" s="377"/>
      <c r="G12" s="489" t="s">
        <v>420</v>
      </c>
      <c r="H12" s="490">
        <v>0</v>
      </c>
    </row>
    <row r="13" spans="1:8" ht="15">
      <c r="A13" s="209" t="s">
        <v>421</v>
      </c>
      <c r="B13" s="381"/>
      <c r="C13" s="380"/>
      <c r="D13" s="377"/>
      <c r="G13" s="489" t="s">
        <v>422</v>
      </c>
      <c r="H13" s="490">
        <v>0</v>
      </c>
    </row>
    <row r="14" spans="1:8" ht="15">
      <c r="A14" s="374" t="s">
        <v>423</v>
      </c>
      <c r="B14" s="379" t="s">
        <v>412</v>
      </c>
      <c r="C14" s="376"/>
      <c r="D14" s="377"/>
      <c r="G14" s="491" t="s">
        <v>46</v>
      </c>
      <c r="H14" s="492">
        <f>SUM(H5:H13)</f>
        <v>0</v>
      </c>
    </row>
    <row r="15" spans="1:8" ht="15">
      <c r="A15" s="374" t="s">
        <v>424</v>
      </c>
      <c r="B15" s="375" t="s">
        <v>409</v>
      </c>
      <c r="C15" s="378"/>
      <c r="D15" s="377"/>
      <c r="G15" s="382" t="s">
        <v>425</v>
      </c>
      <c r="H15" s="493"/>
    </row>
    <row r="16" spans="1:8" ht="15">
      <c r="A16" s="374" t="s">
        <v>426</v>
      </c>
      <c r="B16" s="379" t="s">
        <v>412</v>
      </c>
      <c r="C16" s="378"/>
      <c r="D16" s="377"/>
      <c r="G16" s="494" t="s">
        <v>427</v>
      </c>
      <c r="H16" s="495">
        <v>0</v>
      </c>
    </row>
    <row r="17" spans="1:8" ht="15">
      <c r="A17" s="374" t="s">
        <v>428</v>
      </c>
      <c r="B17" s="375" t="s">
        <v>409</v>
      </c>
      <c r="C17" s="378"/>
      <c r="D17" s="377"/>
      <c r="G17" s="494" t="s">
        <v>429</v>
      </c>
      <c r="H17" s="495">
        <v>0</v>
      </c>
    </row>
    <row r="18" spans="1:8" ht="15">
      <c r="A18" s="374" t="s">
        <v>430</v>
      </c>
      <c r="B18" s="379" t="s">
        <v>412</v>
      </c>
      <c r="C18" s="383"/>
      <c r="D18" s="377"/>
      <c r="G18" s="494" t="s">
        <v>431</v>
      </c>
      <c r="H18" s="495">
        <v>0</v>
      </c>
    </row>
    <row r="19" spans="1:8" ht="15">
      <c r="A19" s="374" t="s">
        <v>432</v>
      </c>
      <c r="B19" s="379" t="s">
        <v>412</v>
      </c>
      <c r="C19" s="378"/>
      <c r="D19" s="377"/>
      <c r="G19" s="494" t="s">
        <v>433</v>
      </c>
      <c r="H19" s="495">
        <v>0</v>
      </c>
    </row>
    <row r="20" spans="1:8" ht="15">
      <c r="A20" s="374" t="s">
        <v>434</v>
      </c>
      <c r="B20" s="375" t="s">
        <v>409</v>
      </c>
      <c r="C20" s="378"/>
      <c r="D20" s="377"/>
      <c r="G20" s="489" t="s">
        <v>435</v>
      </c>
      <c r="H20" s="490">
        <v>0</v>
      </c>
    </row>
    <row r="21" spans="1:8" ht="15">
      <c r="A21" s="803" t="s">
        <v>436</v>
      </c>
      <c r="B21" s="804"/>
      <c r="C21" s="805"/>
      <c r="D21" s="806">
        <f>-C14+C15-C16+C17-C18-C19+C20</f>
        <v>0</v>
      </c>
      <c r="G21" s="489" t="s">
        <v>437</v>
      </c>
      <c r="H21" s="490">
        <v>0</v>
      </c>
    </row>
    <row r="22" spans="7:8" ht="15">
      <c r="G22" s="489" t="s">
        <v>438</v>
      </c>
      <c r="H22" s="490">
        <v>0</v>
      </c>
    </row>
    <row r="23" spans="3:8" ht="15">
      <c r="C23" s="22"/>
      <c r="G23" s="489" t="s">
        <v>439</v>
      </c>
      <c r="H23" s="490">
        <v>0</v>
      </c>
    </row>
    <row r="24" spans="7:8" ht="15">
      <c r="G24" s="496" t="s">
        <v>46</v>
      </c>
      <c r="H24" s="497">
        <f>SUM(H16:H23)</f>
        <v>0</v>
      </c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3.7109375" style="21" customWidth="1"/>
    <col min="2" max="2" width="40.8515625" style="21" customWidth="1"/>
    <col min="3" max="5" width="14.7109375" style="21" customWidth="1"/>
    <col min="6" max="6" width="2.57421875" style="21" customWidth="1"/>
    <col min="7" max="7" width="14.7109375" style="21" customWidth="1"/>
    <col min="8" max="8" width="2.28125" style="21" customWidth="1"/>
    <col min="9" max="11" width="18.00390625" style="21" customWidth="1"/>
    <col min="12" max="16384" width="9.140625" style="21" customWidth="1"/>
  </cols>
  <sheetData>
    <row r="1" spans="1:9" ht="15.75">
      <c r="A1" s="384" t="s">
        <v>440</v>
      </c>
      <c r="G1" s="555" t="s">
        <v>624</v>
      </c>
      <c r="I1" s="370" t="s">
        <v>449</v>
      </c>
    </row>
    <row r="2" spans="5:11" ht="15">
      <c r="E2" s="855" t="str">
        <f>"Tab. 58 - Comune di "&amp;Comune</f>
        <v>Tab. 58 - Comune di </v>
      </c>
      <c r="G2" s="748" t="s">
        <v>777</v>
      </c>
      <c r="K2" s="855" t="str">
        <f>"Tab. 60 - Comune di "&amp;Comune</f>
        <v>Tab. 60 - Comune di </v>
      </c>
    </row>
    <row r="3" spans="1:11" ht="15">
      <c r="A3" s="385"/>
      <c r="B3" s="385"/>
      <c r="C3" s="386">
        <v>2011</v>
      </c>
      <c r="D3" s="386">
        <f>+C3+1</f>
        <v>2012</v>
      </c>
      <c r="E3" s="386">
        <f>+D3+1</f>
        <v>2013</v>
      </c>
      <c r="F3" s="808"/>
      <c r="G3" s="808"/>
      <c r="I3" s="222">
        <f>+C3</f>
        <v>2011</v>
      </c>
      <c r="J3" s="222">
        <f>+D3</f>
        <v>2012</v>
      </c>
      <c r="K3" s="222">
        <f>+E3</f>
        <v>2013</v>
      </c>
    </row>
    <row r="4" spans="1:11" ht="15">
      <c r="A4" s="387" t="s">
        <v>28</v>
      </c>
      <c r="B4" s="388" t="s">
        <v>441</v>
      </c>
      <c r="C4" s="389"/>
      <c r="D4" s="390"/>
      <c r="E4" s="389"/>
      <c r="F4" s="809"/>
      <c r="G4" s="809"/>
      <c r="I4" s="202">
        <v>0</v>
      </c>
      <c r="J4" s="202">
        <v>0</v>
      </c>
      <c r="K4" s="202">
        <v>0</v>
      </c>
    </row>
    <row r="5" spans="1:7" ht="15">
      <c r="A5" s="391" t="s">
        <v>29</v>
      </c>
      <c r="B5" s="392" t="s">
        <v>442</v>
      </c>
      <c r="C5" s="393"/>
      <c r="D5" s="394"/>
      <c r="E5" s="393"/>
      <c r="F5" s="809"/>
      <c r="G5" s="809"/>
    </row>
    <row r="6" spans="1:7" ht="15">
      <c r="A6" s="1201"/>
      <c r="B6" s="1202"/>
      <c r="C6" s="1202"/>
      <c r="D6" s="1202"/>
      <c r="E6" s="1203"/>
      <c r="F6" s="810"/>
      <c r="G6" s="810"/>
    </row>
    <row r="7" spans="1:7" ht="15">
      <c r="A7" s="395"/>
      <c r="B7" s="396" t="s">
        <v>443</v>
      </c>
      <c r="C7" s="397">
        <f>C4-C5</f>
        <v>0</v>
      </c>
      <c r="D7" s="397">
        <f>D4-D5</f>
        <v>0</v>
      </c>
      <c r="E7" s="397">
        <f>E4-E5</f>
        <v>0</v>
      </c>
      <c r="F7" s="811"/>
      <c r="G7" s="811"/>
    </row>
    <row r="8" spans="1:7" ht="15">
      <c r="A8" s="1201"/>
      <c r="B8" s="1202"/>
      <c r="C8" s="1202"/>
      <c r="D8" s="1202"/>
      <c r="E8" s="1203"/>
      <c r="F8" s="810"/>
      <c r="G8" s="810"/>
    </row>
    <row r="9" spans="1:7" ht="15">
      <c r="A9" s="387" t="s">
        <v>30</v>
      </c>
      <c r="B9" s="388" t="s">
        <v>444</v>
      </c>
      <c r="C9" s="394"/>
      <c r="D9" s="394"/>
      <c r="E9" s="394"/>
      <c r="F9" s="812"/>
      <c r="G9" s="812"/>
    </row>
    <row r="10" spans="1:7" ht="15">
      <c r="A10" s="1201"/>
      <c r="B10" s="1202"/>
      <c r="C10" s="1202"/>
      <c r="D10" s="1202"/>
      <c r="E10" s="1203"/>
      <c r="F10" s="810"/>
      <c r="G10" s="810"/>
    </row>
    <row r="11" spans="1:7" ht="15">
      <c r="A11" s="395"/>
      <c r="B11" s="396" t="s">
        <v>445</v>
      </c>
      <c r="C11" s="397">
        <f>C7+C9</f>
        <v>0</v>
      </c>
      <c r="D11" s="397">
        <f>D7+D9</f>
        <v>0</v>
      </c>
      <c r="E11" s="397">
        <f>E7+E9</f>
        <v>0</v>
      </c>
      <c r="F11" s="811"/>
      <c r="G11" s="811"/>
    </row>
    <row r="12" spans="1:7" ht="15">
      <c r="A12" s="1201"/>
      <c r="B12" s="1202"/>
      <c r="C12" s="1202"/>
      <c r="D12" s="1202"/>
      <c r="E12" s="1203"/>
      <c r="F12" s="810"/>
      <c r="G12" s="810"/>
    </row>
    <row r="13" spans="1:7" ht="15">
      <c r="A13" s="387" t="s">
        <v>31</v>
      </c>
      <c r="B13" s="388" t="s">
        <v>446</v>
      </c>
      <c r="C13" s="398"/>
      <c r="D13" s="398"/>
      <c r="E13" s="399"/>
      <c r="F13" s="809"/>
      <c r="G13" s="809"/>
    </row>
    <row r="14" spans="1:7" ht="15">
      <c r="A14" s="391" t="s">
        <v>32</v>
      </c>
      <c r="B14" s="392" t="s">
        <v>447</v>
      </c>
      <c r="C14" s="394"/>
      <c r="D14" s="394"/>
      <c r="E14" s="393"/>
      <c r="F14" s="809"/>
      <c r="G14" s="809"/>
    </row>
    <row r="15" spans="1:7" ht="15">
      <c r="A15" s="1204"/>
      <c r="B15" s="1205"/>
      <c r="C15" s="1202"/>
      <c r="D15" s="1202"/>
      <c r="E15" s="1203"/>
      <c r="F15" s="810"/>
      <c r="G15" s="810"/>
    </row>
    <row r="16" spans="1:7" ht="15">
      <c r="A16" s="400"/>
      <c r="B16" s="401" t="s">
        <v>448</v>
      </c>
      <c r="C16" s="402">
        <f>C11+C13+C14</f>
        <v>0</v>
      </c>
      <c r="D16" s="403">
        <f>D11+D13+D14</f>
        <v>0</v>
      </c>
      <c r="E16" s="403">
        <f>E11+E13+E14</f>
        <v>0</v>
      </c>
      <c r="F16" s="811"/>
      <c r="G16" s="811"/>
    </row>
    <row r="17" spans="4:8" ht="15">
      <c r="D17" s="404">
        <f>+D16-D14</f>
        <v>0</v>
      </c>
      <c r="E17" s="404">
        <f>+E16-E14</f>
        <v>0</v>
      </c>
      <c r="F17" s="404"/>
      <c r="G17" s="404"/>
      <c r="H17" s="404"/>
    </row>
  </sheetData>
  <sheetProtection/>
  <mergeCells count="5">
    <mergeCell ref="A6:E6"/>
    <mergeCell ref="A8:E8"/>
    <mergeCell ref="A12:E12"/>
    <mergeCell ref="A15:E15"/>
    <mergeCell ref="A10:E10"/>
  </mergeCell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46.8515625" style="53" customWidth="1"/>
    <col min="2" max="3" width="19.00390625" style="53" customWidth="1"/>
    <col min="4" max="16384" width="9.140625" style="21" customWidth="1"/>
  </cols>
  <sheetData>
    <row r="1" spans="1:6" ht="15">
      <c r="A1" s="273" t="s">
        <v>559</v>
      </c>
      <c r="E1" s="555" t="s">
        <v>624</v>
      </c>
      <c r="F1" s="748" t="s">
        <v>777</v>
      </c>
    </row>
    <row r="2" ht="15">
      <c r="C2" s="855" t="str">
        <f>"Tab. 61 - Comune di "&amp;Comune</f>
        <v>Tab. 61 - Comune di </v>
      </c>
    </row>
    <row r="3" spans="1:3" ht="15">
      <c r="A3" s="767"/>
      <c r="B3" s="12" t="s">
        <v>451</v>
      </c>
      <c r="C3" s="12" t="s">
        <v>452</v>
      </c>
    </row>
    <row r="4" spans="1:3" ht="15">
      <c r="A4" s="9" t="s">
        <v>453</v>
      </c>
      <c r="B4" s="414"/>
      <c r="C4" s="408"/>
    </row>
    <row r="5" spans="1:3" ht="15">
      <c r="A5" s="9" t="s">
        <v>454</v>
      </c>
      <c r="B5" s="405"/>
      <c r="C5" s="409">
        <f>+B5</f>
        <v>0</v>
      </c>
    </row>
    <row r="6" spans="1:3" ht="15">
      <c r="A6" s="9" t="s">
        <v>455</v>
      </c>
      <c r="B6" s="414"/>
      <c r="C6" s="1206">
        <f>SUM(B8:B10)</f>
        <v>0</v>
      </c>
    </row>
    <row r="7" spans="1:3" ht="15">
      <c r="A7" s="8" t="s">
        <v>456</v>
      </c>
      <c r="B7" s="414"/>
      <c r="C7" s="1206"/>
    </row>
    <row r="8" spans="1:3" ht="15">
      <c r="A8" s="413" t="s">
        <v>472</v>
      </c>
      <c r="B8" s="405"/>
      <c r="C8" s="1206"/>
    </row>
    <row r="9" spans="1:3" ht="15">
      <c r="A9" s="413" t="s">
        <v>471</v>
      </c>
      <c r="B9" s="405"/>
      <c r="C9" s="1206"/>
    </row>
    <row r="10" spans="1:3" ht="15">
      <c r="A10" s="413" t="s">
        <v>470</v>
      </c>
      <c r="B10" s="405"/>
      <c r="C10" s="1206"/>
    </row>
    <row r="11" spans="1:3" ht="15">
      <c r="A11" s="9" t="s">
        <v>457</v>
      </c>
      <c r="B11" s="414"/>
      <c r="C11" s="1206">
        <f>SUM(B13:B15)</f>
        <v>0</v>
      </c>
    </row>
    <row r="12" spans="1:3" ht="15">
      <c r="A12" s="8" t="s">
        <v>456</v>
      </c>
      <c r="B12" s="414"/>
      <c r="C12" s="1206"/>
    </row>
    <row r="13" spans="1:3" ht="15">
      <c r="A13" s="412" t="s">
        <v>466</v>
      </c>
      <c r="B13" s="405"/>
      <c r="C13" s="1206"/>
    </row>
    <row r="14" spans="1:3" ht="15">
      <c r="A14" s="412" t="s">
        <v>467</v>
      </c>
      <c r="B14" s="405"/>
      <c r="C14" s="1206"/>
    </row>
    <row r="15" spans="1:3" ht="15">
      <c r="A15" s="413" t="s">
        <v>470</v>
      </c>
      <c r="B15" s="405"/>
      <c r="C15" s="1206"/>
    </row>
    <row r="16" spans="1:3" ht="15">
      <c r="A16" s="9" t="s">
        <v>458</v>
      </c>
      <c r="B16" s="414"/>
      <c r="C16" s="1206">
        <f>SUM(B17)</f>
        <v>0</v>
      </c>
    </row>
    <row r="17" spans="1:3" ht="15">
      <c r="A17" s="413" t="s">
        <v>470</v>
      </c>
      <c r="B17" s="405"/>
      <c r="C17" s="1206"/>
    </row>
    <row r="18" spans="1:3" ht="15">
      <c r="A18" s="407" t="s">
        <v>459</v>
      </c>
      <c r="B18" s="411"/>
      <c r="C18" s="410">
        <f>SUM(C5:C17)</f>
        <v>0</v>
      </c>
    </row>
    <row r="19" spans="1:3" ht="15">
      <c r="A19" s="21"/>
      <c r="B19" s="21"/>
      <c r="C19" s="21"/>
    </row>
    <row r="20" spans="1:3" ht="15">
      <c r="A20" s="21"/>
      <c r="B20" s="21"/>
      <c r="C20" s="855" t="str">
        <f>"Tab. 62 - Comune di "&amp;Comune</f>
        <v>Tab. 62 - Comune di </v>
      </c>
    </row>
    <row r="21" spans="1:3" ht="15">
      <c r="A21" s="9" t="s">
        <v>460</v>
      </c>
      <c r="B21" s="414"/>
      <c r="C21" s="817"/>
    </row>
    <row r="22" spans="1:3" ht="15">
      <c r="A22" s="9" t="s">
        <v>461</v>
      </c>
      <c r="B22" s="405"/>
      <c r="C22" s="154">
        <f>+B22</f>
        <v>0</v>
      </c>
    </row>
    <row r="23" spans="1:3" ht="15">
      <c r="A23" s="9" t="s">
        <v>462</v>
      </c>
      <c r="B23" s="414"/>
      <c r="C23" s="1206">
        <f>SUM(B25:B28)</f>
        <v>0</v>
      </c>
    </row>
    <row r="24" spans="1:3" ht="15">
      <c r="A24" s="8" t="s">
        <v>463</v>
      </c>
      <c r="B24" s="414"/>
      <c r="C24" s="1206"/>
    </row>
    <row r="25" spans="1:3" ht="25.5">
      <c r="A25" s="413" t="s">
        <v>477</v>
      </c>
      <c r="B25" s="405"/>
      <c r="C25" s="1206"/>
    </row>
    <row r="26" spans="1:3" ht="15">
      <c r="A26" s="413" t="s">
        <v>475</v>
      </c>
      <c r="B26" s="405"/>
      <c r="C26" s="1206"/>
    </row>
    <row r="27" spans="1:3" ht="15">
      <c r="A27" s="412" t="s">
        <v>473</v>
      </c>
      <c r="B27" s="405"/>
      <c r="C27" s="1206"/>
    </row>
    <row r="28" spans="1:3" ht="15">
      <c r="A28" s="413" t="s">
        <v>474</v>
      </c>
      <c r="B28" s="405"/>
      <c r="C28" s="1206"/>
    </row>
    <row r="29" spans="1:3" ht="15">
      <c r="A29" s="9" t="s">
        <v>464</v>
      </c>
      <c r="B29" s="414"/>
      <c r="C29" s="1206">
        <f>SUM(B31:B33)</f>
        <v>0</v>
      </c>
    </row>
    <row r="30" spans="1:3" ht="15">
      <c r="A30" s="8" t="s">
        <v>463</v>
      </c>
      <c r="B30" s="414"/>
      <c r="C30" s="1206"/>
    </row>
    <row r="31" spans="1:3" ht="15">
      <c r="A31" s="412" t="s">
        <v>468</v>
      </c>
      <c r="B31" s="405"/>
      <c r="C31" s="1206"/>
    </row>
    <row r="32" spans="1:3" ht="15">
      <c r="A32" s="412" t="s">
        <v>469</v>
      </c>
      <c r="B32" s="405"/>
      <c r="C32" s="1206"/>
    </row>
    <row r="33" spans="1:3" ht="15">
      <c r="A33" s="413" t="s">
        <v>470</v>
      </c>
      <c r="B33" s="405"/>
      <c r="C33" s="1206"/>
    </row>
    <row r="34" spans="1:3" ht="15">
      <c r="A34" s="9" t="s">
        <v>465</v>
      </c>
      <c r="B34" s="414"/>
      <c r="C34" s="1206">
        <f>SUM(B35)</f>
        <v>0</v>
      </c>
    </row>
    <row r="35" spans="1:3" ht="15">
      <c r="A35" s="413" t="s">
        <v>470</v>
      </c>
      <c r="B35" s="405"/>
      <c r="C35" s="1206"/>
    </row>
    <row r="36" spans="1:3" ht="15">
      <c r="A36" s="407" t="s">
        <v>476</v>
      </c>
      <c r="B36" s="411"/>
      <c r="C36" s="410">
        <f>SUM(C22:C35)</f>
        <v>0</v>
      </c>
    </row>
  </sheetData>
  <sheetProtection/>
  <mergeCells count="6">
    <mergeCell ref="C29:C33"/>
    <mergeCell ref="C34:C35"/>
    <mergeCell ref="C6:C10"/>
    <mergeCell ref="C11:C15"/>
    <mergeCell ref="C16:C17"/>
    <mergeCell ref="C23:C28"/>
  </mergeCells>
  <hyperlinks>
    <hyperlink ref="E1" location="'Inserimento dati'!A1" display="InsDati"/>
    <hyperlink ref="F1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31.421875" style="21" customWidth="1"/>
    <col min="2" max="5" width="13.7109375" style="21" customWidth="1"/>
    <col min="6" max="6" width="9.140625" style="21" customWidth="1"/>
    <col min="7" max="7" width="10.140625" style="21" bestFit="1" customWidth="1"/>
    <col min="8" max="16384" width="9.140625" style="21" customWidth="1"/>
  </cols>
  <sheetData>
    <row r="1" spans="1:8" ht="18">
      <c r="A1" s="415" t="s">
        <v>478</v>
      </c>
      <c r="G1" s="555" t="s">
        <v>624</v>
      </c>
      <c r="H1" s="748" t="s">
        <v>777</v>
      </c>
    </row>
    <row r="2" ht="15">
      <c r="E2" s="855" t="str">
        <f>"Tab. 63 - Comune di "&amp;Comune</f>
        <v>Tab. 63 - Comune di </v>
      </c>
    </row>
    <row r="3" spans="1:5" ht="36">
      <c r="A3" s="416" t="s">
        <v>479</v>
      </c>
      <c r="B3" s="417">
        <v>40908</v>
      </c>
      <c r="C3" s="418" t="s">
        <v>499</v>
      </c>
      <c r="D3" s="418" t="s">
        <v>500</v>
      </c>
      <c r="E3" s="417">
        <v>41274</v>
      </c>
    </row>
    <row r="4" spans="1:5" ht="3" customHeight="1">
      <c r="A4" s="419"/>
      <c r="B4" s="420"/>
      <c r="C4" s="420"/>
      <c r="D4" s="420"/>
      <c r="E4" s="421"/>
    </row>
    <row r="5" spans="1:5" ht="15">
      <c r="A5" s="422" t="s">
        <v>480</v>
      </c>
      <c r="B5" s="225"/>
      <c r="C5" s="225"/>
      <c r="D5" s="225"/>
      <c r="E5" s="225">
        <f aca="true" t="shared" si="0" ref="E5:E17">B5+C5+D5</f>
        <v>0</v>
      </c>
    </row>
    <row r="6" spans="1:5" ht="15">
      <c r="A6" s="423" t="s">
        <v>481</v>
      </c>
      <c r="B6" s="112"/>
      <c r="C6" s="112"/>
      <c r="D6" s="112"/>
      <c r="E6" s="112">
        <f t="shared" si="0"/>
        <v>0</v>
      </c>
    </row>
    <row r="7" spans="1:5" ht="15">
      <c r="A7" s="423" t="s">
        <v>482</v>
      </c>
      <c r="B7" s="112"/>
      <c r="C7" s="112"/>
      <c r="D7" s="112"/>
      <c r="E7" s="112">
        <f t="shared" si="0"/>
        <v>0</v>
      </c>
    </row>
    <row r="8" spans="1:5" ht="15">
      <c r="A8" s="424" t="s">
        <v>483</v>
      </c>
      <c r="B8" s="425">
        <f>B5+B6+B7</f>
        <v>0</v>
      </c>
      <c r="C8" s="425">
        <f>C5+C6+C7</f>
        <v>0</v>
      </c>
      <c r="D8" s="425">
        <f>D5+D6+D7</f>
        <v>0</v>
      </c>
      <c r="E8" s="425">
        <f t="shared" si="0"/>
        <v>0</v>
      </c>
    </row>
    <row r="9" spans="1:5" ht="15">
      <c r="A9" s="422" t="s">
        <v>484</v>
      </c>
      <c r="B9" s="180"/>
      <c r="C9" s="180"/>
      <c r="D9" s="180"/>
      <c r="E9" s="180">
        <f t="shared" si="0"/>
        <v>0</v>
      </c>
    </row>
    <row r="10" spans="1:5" ht="15">
      <c r="A10" s="423" t="s">
        <v>485</v>
      </c>
      <c r="B10" s="112"/>
      <c r="C10" s="112"/>
      <c r="D10" s="112"/>
      <c r="E10" s="112">
        <f t="shared" si="0"/>
        <v>0</v>
      </c>
    </row>
    <row r="11" spans="1:5" ht="15">
      <c r="A11" s="423" t="s">
        <v>486</v>
      </c>
      <c r="B11" s="112"/>
      <c r="C11" s="112"/>
      <c r="D11" s="112"/>
      <c r="E11" s="112">
        <f t="shared" si="0"/>
        <v>0</v>
      </c>
    </row>
    <row r="12" spans="1:5" ht="15">
      <c r="A12" s="423" t="s">
        <v>487</v>
      </c>
      <c r="B12" s="112"/>
      <c r="C12" s="112"/>
      <c r="D12" s="112"/>
      <c r="E12" s="426">
        <f t="shared" si="0"/>
        <v>0</v>
      </c>
    </row>
    <row r="13" spans="1:5" ht="15">
      <c r="A13" s="424" t="s">
        <v>488</v>
      </c>
      <c r="B13" s="447">
        <f>B9+B10+B11+B12</f>
        <v>0</v>
      </c>
      <c r="C13" s="447">
        <f>C9+C10+C11+C12</f>
        <v>0</v>
      </c>
      <c r="D13" s="447">
        <f>D9+D10+D11+D12</f>
        <v>0</v>
      </c>
      <c r="E13" s="447">
        <f t="shared" si="0"/>
        <v>0</v>
      </c>
    </row>
    <row r="14" spans="1:5" ht="15">
      <c r="A14" s="424" t="s">
        <v>489</v>
      </c>
      <c r="B14" s="180"/>
      <c r="C14" s="180"/>
      <c r="D14" s="180"/>
      <c r="E14" s="180">
        <f t="shared" si="0"/>
        <v>0</v>
      </c>
    </row>
    <row r="15" spans="1:5" ht="3" customHeight="1">
      <c r="A15" s="427"/>
      <c r="B15" s="428"/>
      <c r="C15" s="428"/>
      <c r="D15" s="428"/>
      <c r="E15" s="428">
        <f t="shared" si="0"/>
        <v>0</v>
      </c>
    </row>
    <row r="16" spans="1:5" ht="15.75" thickBot="1">
      <c r="A16" s="429" t="s">
        <v>490</v>
      </c>
      <c r="B16" s="223">
        <f>B8+B13+B14</f>
        <v>0</v>
      </c>
      <c r="C16" s="223">
        <f>C8+C13+C14</f>
        <v>0</v>
      </c>
      <c r="D16" s="223">
        <f>D8+D13+D14</f>
        <v>0</v>
      </c>
      <c r="E16" s="223">
        <f t="shared" si="0"/>
        <v>0</v>
      </c>
    </row>
    <row r="17" spans="1:5" ht="16.5" thickBot="1" thickTop="1">
      <c r="A17" s="445" t="s">
        <v>491</v>
      </c>
      <c r="B17" s="430"/>
      <c r="C17" s="430"/>
      <c r="D17" s="430"/>
      <c r="E17" s="430">
        <f t="shared" si="0"/>
        <v>0</v>
      </c>
    </row>
    <row r="18" spans="1:5" ht="18.75">
      <c r="A18" s="416" t="s">
        <v>492</v>
      </c>
      <c r="B18" s="431"/>
      <c r="C18" s="432"/>
      <c r="D18" s="432"/>
      <c r="E18" s="433"/>
    </row>
    <row r="19" spans="1:5" ht="3" customHeight="1">
      <c r="A19" s="434"/>
      <c r="B19" s="435"/>
      <c r="C19" s="435"/>
      <c r="D19" s="435"/>
      <c r="E19" s="435"/>
    </row>
    <row r="20" spans="1:7" ht="15">
      <c r="A20" s="424" t="s">
        <v>493</v>
      </c>
      <c r="B20" s="436"/>
      <c r="C20" s="436"/>
      <c r="D20" s="436"/>
      <c r="E20" s="437">
        <f aca="true" t="shared" si="1" ref="E20:E30">B20+C20+D20</f>
        <v>0</v>
      </c>
      <c r="G20" s="184"/>
    </row>
    <row r="21" spans="1:5" ht="15">
      <c r="A21" s="424" t="s">
        <v>288</v>
      </c>
      <c r="B21" s="425"/>
      <c r="C21" s="425"/>
      <c r="D21" s="425"/>
      <c r="E21" s="425">
        <f t="shared" si="1"/>
        <v>0</v>
      </c>
    </row>
    <row r="22" spans="1:5" ht="15">
      <c r="A22" s="438" t="s">
        <v>68</v>
      </c>
      <c r="B22" s="180"/>
      <c r="C22" s="180"/>
      <c r="D22" s="180"/>
      <c r="E22" s="180">
        <f t="shared" si="1"/>
        <v>0</v>
      </c>
    </row>
    <row r="23" spans="1:5" ht="15">
      <c r="A23" s="439" t="s">
        <v>494</v>
      </c>
      <c r="B23" s="112"/>
      <c r="C23" s="112"/>
      <c r="D23" s="112"/>
      <c r="E23" s="112">
        <f t="shared" si="1"/>
        <v>0</v>
      </c>
    </row>
    <row r="24" spans="1:5" ht="15">
      <c r="A24" s="439" t="s">
        <v>495</v>
      </c>
      <c r="B24" s="112"/>
      <c r="C24" s="112"/>
      <c r="D24" s="112"/>
      <c r="E24" s="112">
        <f t="shared" si="1"/>
        <v>0</v>
      </c>
    </row>
    <row r="25" spans="1:5" ht="15">
      <c r="A25" s="439" t="s">
        <v>496</v>
      </c>
      <c r="B25" s="112"/>
      <c r="C25" s="112"/>
      <c r="D25" s="112"/>
      <c r="E25" s="112">
        <f t="shared" si="1"/>
        <v>0</v>
      </c>
    </row>
    <row r="26" spans="1:5" ht="15">
      <c r="A26" s="424" t="s">
        <v>497</v>
      </c>
      <c r="B26" s="425">
        <f>B22+B23+B24+B25</f>
        <v>0</v>
      </c>
      <c r="C26" s="425">
        <f>C22+C23+C24+C25</f>
        <v>0</v>
      </c>
      <c r="D26" s="425">
        <f>D22+D23+D24+D25</f>
        <v>0</v>
      </c>
      <c r="E26" s="425">
        <f t="shared" si="1"/>
        <v>0</v>
      </c>
    </row>
    <row r="27" spans="1:5" ht="15">
      <c r="A27" s="424" t="s">
        <v>489</v>
      </c>
      <c r="B27" s="180"/>
      <c r="C27" s="440"/>
      <c r="D27" s="180"/>
      <c r="E27" s="441">
        <f t="shared" si="1"/>
        <v>0</v>
      </c>
    </row>
    <row r="28" spans="1:5" ht="2.25" customHeight="1">
      <c r="A28" s="442"/>
      <c r="B28" s="428"/>
      <c r="C28" s="428"/>
      <c r="D28" s="428"/>
      <c r="E28" s="428">
        <f t="shared" si="1"/>
        <v>0</v>
      </c>
    </row>
    <row r="29" spans="1:5" ht="15">
      <c r="A29" s="443" t="s">
        <v>498</v>
      </c>
      <c r="B29" s="440">
        <f>B20+B21+B26+B27</f>
        <v>0</v>
      </c>
      <c r="C29" s="440">
        <f>C20+C21+C26+C27</f>
        <v>0</v>
      </c>
      <c r="D29" s="440">
        <f>D20+D21+D26+D27</f>
        <v>0</v>
      </c>
      <c r="E29" s="440">
        <f t="shared" si="1"/>
        <v>0</v>
      </c>
    </row>
    <row r="30" spans="1:5" ht="15.75" thickBot="1">
      <c r="A30" s="446" t="s">
        <v>491</v>
      </c>
      <c r="B30" s="444"/>
      <c r="C30" s="444"/>
      <c r="D30" s="444"/>
      <c r="E30" s="444">
        <f t="shared" si="1"/>
        <v>0</v>
      </c>
    </row>
  </sheetData>
  <sheetProtection/>
  <hyperlinks>
    <hyperlink ref="G1" location="'Inserimento dati'!A1" display="InsDati"/>
    <hyperlink ref="H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42.28125" style="21" bestFit="1" customWidth="1"/>
    <col min="2" max="3" width="19.7109375" style="21" customWidth="1"/>
    <col min="4" max="16384" width="9.140625" style="21" customWidth="1"/>
  </cols>
  <sheetData>
    <row r="1" spans="1:6" ht="15">
      <c r="A1" s="273" t="s">
        <v>560</v>
      </c>
      <c r="E1" s="555" t="s">
        <v>624</v>
      </c>
      <c r="F1" s="748" t="s">
        <v>777</v>
      </c>
    </row>
    <row r="2" ht="15">
      <c r="C2" s="855" t="str">
        <f>"Tab. 64 - Comune di "&amp;Comune</f>
        <v>Tab. 64 - Comune di </v>
      </c>
    </row>
    <row r="3" spans="1:3" ht="15">
      <c r="A3" s="818"/>
      <c r="B3" s="448" t="s">
        <v>501</v>
      </c>
      <c r="C3" s="448" t="s">
        <v>502</v>
      </c>
    </row>
    <row r="4" spans="1:3" ht="15">
      <c r="A4" s="406" t="s">
        <v>503</v>
      </c>
      <c r="B4" s="449">
        <v>0</v>
      </c>
      <c r="C4" s="449">
        <v>0</v>
      </c>
    </row>
    <row r="5" spans="1:3" ht="15">
      <c r="A5" s="406" t="s">
        <v>504</v>
      </c>
      <c r="B5" s="449">
        <v>0</v>
      </c>
      <c r="C5" s="449">
        <v>0</v>
      </c>
    </row>
    <row r="6" spans="1:3" ht="15">
      <c r="A6" s="406" t="s">
        <v>505</v>
      </c>
      <c r="B6" s="449">
        <v>0</v>
      </c>
      <c r="C6" s="449">
        <v>0</v>
      </c>
    </row>
    <row r="7" spans="1:3" ht="15">
      <c r="A7" s="406" t="s">
        <v>506</v>
      </c>
      <c r="B7" s="449">
        <v>0</v>
      </c>
      <c r="C7" s="449">
        <v>0</v>
      </c>
    </row>
    <row r="8" spans="1:3" ht="15">
      <c r="A8" s="406" t="s">
        <v>507</v>
      </c>
      <c r="B8" s="449">
        <v>0</v>
      </c>
      <c r="C8" s="449">
        <v>0</v>
      </c>
    </row>
    <row r="9" spans="1:3" ht="15">
      <c r="A9" s="406" t="s">
        <v>508</v>
      </c>
      <c r="B9" s="449">
        <v>0</v>
      </c>
      <c r="C9" s="449">
        <v>0</v>
      </c>
    </row>
    <row r="10" spans="1:3" ht="15">
      <c r="A10" s="406" t="s">
        <v>509</v>
      </c>
      <c r="B10" s="449">
        <v>0</v>
      </c>
      <c r="C10" s="449">
        <v>0</v>
      </c>
    </row>
    <row r="11" spans="1:3" ht="15">
      <c r="A11" s="165" t="s">
        <v>196</v>
      </c>
      <c r="B11" s="450">
        <f>SUM(B4:B10)</f>
        <v>0</v>
      </c>
      <c r="C11" s="450">
        <f>SUM(C4:C10)</f>
        <v>0</v>
      </c>
    </row>
    <row r="12" ht="15">
      <c r="A12" s="451"/>
    </row>
  </sheetData>
  <sheetProtection/>
  <hyperlinks>
    <hyperlink ref="E1" location="'Inserimento dati'!A1" display="InsDati"/>
    <hyperlink ref="F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35.140625" style="21" customWidth="1"/>
    <col min="2" max="4" width="15.8515625" style="21" customWidth="1"/>
    <col min="5" max="16384" width="9.140625" style="21" customWidth="1"/>
  </cols>
  <sheetData>
    <row r="1" spans="1:7" ht="15">
      <c r="A1" s="273" t="s">
        <v>561</v>
      </c>
      <c r="F1" s="555" t="s">
        <v>624</v>
      </c>
      <c r="G1" s="748" t="s">
        <v>777</v>
      </c>
    </row>
    <row r="2" ht="12.75" customHeight="1">
      <c r="D2" s="855" t="str">
        <f>"Tab. 65 - Comune di "&amp;Comune</f>
        <v>Tab. 65 - Comune di </v>
      </c>
    </row>
    <row r="3" spans="1:4" ht="46.5" customHeight="1">
      <c r="A3" s="820" t="s">
        <v>806</v>
      </c>
      <c r="B3" s="862" t="s">
        <v>572</v>
      </c>
      <c r="C3" s="862" t="s">
        <v>510</v>
      </c>
      <c r="D3" s="819" t="s">
        <v>16</v>
      </c>
    </row>
    <row r="4" spans="1:4" ht="15">
      <c r="A4" s="269"/>
      <c r="B4" s="452"/>
      <c r="C4" s="452"/>
      <c r="D4" s="452">
        <f>+C4-B4</f>
        <v>0</v>
      </c>
    </row>
    <row r="5" spans="1:4" ht="15">
      <c r="A5" s="269"/>
      <c r="B5" s="452"/>
      <c r="C5" s="452"/>
      <c r="D5" s="452">
        <f aca="true" t="shared" si="0" ref="D5:D18">+C5-B5</f>
        <v>0</v>
      </c>
    </row>
    <row r="6" spans="1:4" ht="15">
      <c r="A6" s="453"/>
      <c r="B6" s="454"/>
      <c r="C6" s="454"/>
      <c r="D6" s="452">
        <f t="shared" si="0"/>
        <v>0</v>
      </c>
    </row>
    <row r="7" spans="1:4" ht="15">
      <c r="A7" s="453"/>
      <c r="B7" s="454"/>
      <c r="C7" s="454"/>
      <c r="D7" s="452">
        <f t="shared" si="0"/>
        <v>0</v>
      </c>
    </row>
    <row r="8" spans="1:4" ht="15">
      <c r="A8" s="453"/>
      <c r="B8" s="454"/>
      <c r="C8" s="454"/>
      <c r="D8" s="452">
        <f t="shared" si="0"/>
        <v>0</v>
      </c>
    </row>
    <row r="9" spans="1:4" ht="15">
      <c r="A9" s="453"/>
      <c r="B9" s="454"/>
      <c r="C9" s="454"/>
      <c r="D9" s="452">
        <f t="shared" si="0"/>
        <v>0</v>
      </c>
    </row>
    <row r="10" spans="1:4" ht="15">
      <c r="A10" s="453"/>
      <c r="B10" s="454"/>
      <c r="C10" s="454"/>
      <c r="D10" s="452">
        <f t="shared" si="0"/>
        <v>0</v>
      </c>
    </row>
    <row r="11" spans="1:4" ht="15">
      <c r="A11" s="453"/>
      <c r="B11" s="454"/>
      <c r="C11" s="454"/>
      <c r="D11" s="452">
        <f t="shared" si="0"/>
        <v>0</v>
      </c>
    </row>
    <row r="12" spans="1:4" ht="15">
      <c r="A12" s="453"/>
      <c r="B12" s="454"/>
      <c r="C12" s="454"/>
      <c r="D12" s="452">
        <f t="shared" si="0"/>
        <v>0</v>
      </c>
    </row>
    <row r="13" spans="1:4" ht="15">
      <c r="A13" s="453"/>
      <c r="B13" s="454"/>
      <c r="C13" s="454"/>
      <c r="D13" s="452">
        <f t="shared" si="0"/>
        <v>0</v>
      </c>
    </row>
    <row r="14" spans="1:4" ht="15">
      <c r="A14" s="453"/>
      <c r="B14" s="454"/>
      <c r="C14" s="454"/>
      <c r="D14" s="452">
        <f t="shared" si="0"/>
        <v>0</v>
      </c>
    </row>
    <row r="15" spans="1:4" ht="15">
      <c r="A15" s="453"/>
      <c r="B15" s="454"/>
      <c r="C15" s="454"/>
      <c r="D15" s="452">
        <f t="shared" si="0"/>
        <v>0</v>
      </c>
    </row>
    <row r="16" spans="1:4" ht="15">
      <c r="A16" s="453"/>
      <c r="B16" s="454"/>
      <c r="C16" s="454"/>
      <c r="D16" s="452">
        <f t="shared" si="0"/>
        <v>0</v>
      </c>
    </row>
    <row r="17" spans="1:4" ht="15">
      <c r="A17" s="453"/>
      <c r="B17" s="454"/>
      <c r="C17" s="454"/>
      <c r="D17" s="452">
        <f t="shared" si="0"/>
        <v>0</v>
      </c>
    </row>
    <row r="18" spans="1:4" ht="15">
      <c r="A18" s="455" t="s">
        <v>452</v>
      </c>
      <c r="B18" s="456">
        <f>SUM(B4:B17)</f>
        <v>0</v>
      </c>
      <c r="C18" s="456">
        <f>SUM(C4:C17)</f>
        <v>0</v>
      </c>
      <c r="D18" s="457">
        <f t="shared" si="0"/>
        <v>0</v>
      </c>
    </row>
    <row r="19" spans="1:4" ht="15">
      <c r="A19" s="53"/>
      <c r="B19" s="458"/>
      <c r="C19" s="458"/>
      <c r="D19" s="458"/>
    </row>
    <row r="20" spans="1:4" ht="15">
      <c r="A20" s="53"/>
      <c r="B20" s="458"/>
      <c r="C20" s="458"/>
      <c r="D20" s="458"/>
    </row>
    <row r="21" spans="1:4" ht="15">
      <c r="A21" s="53"/>
      <c r="B21" s="458"/>
      <c r="C21" s="458"/>
      <c r="D21" s="458"/>
    </row>
  </sheetData>
  <sheetProtection/>
  <hyperlinks>
    <hyperlink ref="F1" location="'Inserimento dati'!A1" display="InsDati"/>
    <hyperlink ref="G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48.28125" style="21" bestFit="1" customWidth="1"/>
    <col min="2" max="2" width="31.140625" style="21" customWidth="1"/>
    <col min="3" max="16384" width="9.140625" style="21" customWidth="1"/>
  </cols>
  <sheetData>
    <row r="1" spans="1:5" ht="15">
      <c r="A1" s="370" t="s">
        <v>511</v>
      </c>
      <c r="D1" s="555" t="s">
        <v>624</v>
      </c>
      <c r="E1" s="748" t="s">
        <v>777</v>
      </c>
    </row>
    <row r="2" ht="15">
      <c r="B2" s="855" t="str">
        <f>"Tab. 66 - Comune di "&amp;Comune</f>
        <v>Tab. 66 - Comune di </v>
      </c>
    </row>
    <row r="3" spans="1:2" ht="26.25" customHeight="1">
      <c r="A3" s="863" t="s">
        <v>517</v>
      </c>
      <c r="B3" s="865"/>
    </row>
    <row r="4" spans="1:2" ht="26.25" customHeight="1">
      <c r="A4" s="864" t="s">
        <v>512</v>
      </c>
      <c r="B4" s="866"/>
    </row>
    <row r="5" spans="1:2" ht="26.25" customHeight="1">
      <c r="A5" s="864" t="s">
        <v>515</v>
      </c>
      <c r="B5" s="866"/>
    </row>
    <row r="6" spans="1:2" ht="26.25" customHeight="1">
      <c r="A6" s="864" t="s">
        <v>516</v>
      </c>
      <c r="B6" s="866"/>
    </row>
    <row r="7" spans="1:2" ht="26.25" customHeight="1">
      <c r="A7" s="864" t="s">
        <v>513</v>
      </c>
      <c r="B7" s="866"/>
    </row>
    <row r="8" spans="1:2" ht="26.25" customHeight="1">
      <c r="A8" s="863" t="s">
        <v>514</v>
      </c>
      <c r="B8" s="865"/>
    </row>
  </sheetData>
  <sheetProtection/>
  <hyperlinks>
    <hyperlink ref="D1" location="'Inserimento dati'!A1" display="InsDati"/>
    <hyperlink ref="E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6.140625" style="0" customWidth="1"/>
    <col min="3" max="6" width="16.00390625" style="0" customWidth="1"/>
  </cols>
  <sheetData>
    <row r="1" spans="1:8" ht="12.75">
      <c r="A1" s="5" t="s">
        <v>743</v>
      </c>
      <c r="H1" s="684" t="s">
        <v>624</v>
      </c>
    </row>
    <row r="2" spans="6:8" ht="12.75">
      <c r="F2" s="1068" t="str">
        <f>"Tab. 45 - "&amp;Comune</f>
        <v>Tab. 45 - </v>
      </c>
      <c r="H2" s="748" t="s">
        <v>777</v>
      </c>
    </row>
    <row r="3" spans="1:6" ht="24.75" thickBot="1">
      <c r="A3" s="1207" t="s">
        <v>1</v>
      </c>
      <c r="B3" s="1208"/>
      <c r="C3" s="693" t="s">
        <v>744</v>
      </c>
      <c r="D3" s="693" t="s">
        <v>749</v>
      </c>
      <c r="E3" s="693" t="s">
        <v>1093</v>
      </c>
      <c r="F3" s="694" t="s">
        <v>745</v>
      </c>
    </row>
    <row r="4" spans="1:6" ht="3" customHeight="1">
      <c r="A4" s="13"/>
      <c r="B4" s="13"/>
      <c r="C4" s="695"/>
      <c r="D4" s="695"/>
      <c r="E4" s="695"/>
      <c r="F4" s="695"/>
    </row>
    <row r="5" spans="1:6" ht="12.75">
      <c r="A5" s="696" t="s">
        <v>73</v>
      </c>
      <c r="B5" s="697"/>
      <c r="C5" s="16">
        <f>+ET1P14</f>
        <v>0</v>
      </c>
      <c r="D5" s="16">
        <f>+ET1P15</f>
        <v>0</v>
      </c>
      <c r="E5" s="16">
        <f>+ET1P16</f>
        <v>0</v>
      </c>
      <c r="F5" s="16">
        <f>SUM(C5:E5)</f>
        <v>0</v>
      </c>
    </row>
    <row r="6" spans="1:6" ht="12.75">
      <c r="A6" s="696" t="s">
        <v>74</v>
      </c>
      <c r="B6" s="697"/>
      <c r="C6" s="16">
        <f>+ET2P14</f>
        <v>0</v>
      </c>
      <c r="D6" s="16">
        <f>+ET2P15</f>
        <v>0</v>
      </c>
      <c r="E6" s="16">
        <f>+ET2P16</f>
        <v>0</v>
      </c>
      <c r="F6" s="16">
        <f>SUM(C6:E6)</f>
        <v>0</v>
      </c>
    </row>
    <row r="7" spans="1:6" ht="12.75">
      <c r="A7" s="696" t="s">
        <v>75</v>
      </c>
      <c r="B7" s="697"/>
      <c r="C7" s="16">
        <f>+ET3P14</f>
        <v>0</v>
      </c>
      <c r="D7" s="16">
        <f>+ET3P15</f>
        <v>0</v>
      </c>
      <c r="E7" s="16">
        <f>+ET3P16</f>
        <v>0</v>
      </c>
      <c r="F7" s="16">
        <f>SUM(C7:E7)</f>
        <v>0</v>
      </c>
    </row>
    <row r="8" spans="1:6" ht="12.75">
      <c r="A8" s="696" t="s">
        <v>76</v>
      </c>
      <c r="B8" s="697"/>
      <c r="C8" s="16">
        <f>+ET4P14</f>
        <v>0</v>
      </c>
      <c r="D8" s="16">
        <f>+ET4P15</f>
        <v>0</v>
      </c>
      <c r="E8" s="16">
        <f>+ET4P16</f>
        <v>0</v>
      </c>
      <c r="F8" s="16">
        <f>SUM(C8:E8)</f>
        <v>0</v>
      </c>
    </row>
    <row r="9" spans="1:6" ht="12.75">
      <c r="A9" s="696" t="s">
        <v>77</v>
      </c>
      <c r="B9" s="697"/>
      <c r="C9" s="16">
        <f>+ET5P14</f>
        <v>0</v>
      </c>
      <c r="D9" s="16">
        <f>+ET5P15</f>
        <v>0</v>
      </c>
      <c r="E9" s="16">
        <f>+ET5P16</f>
        <v>0</v>
      </c>
      <c r="F9" s="16">
        <f>SUM(C9:E9)</f>
        <v>0</v>
      </c>
    </row>
    <row r="10" spans="1:6" ht="12.75">
      <c r="A10" s="698" t="s">
        <v>746</v>
      </c>
      <c r="B10" s="697"/>
      <c r="C10" s="16">
        <f>SUM(C5:C9)</f>
        <v>0</v>
      </c>
      <c r="D10" s="16">
        <f>SUM(D5:D9)</f>
        <v>0</v>
      </c>
      <c r="E10" s="16">
        <f>SUM(E5:E9)</f>
        <v>0</v>
      </c>
      <c r="F10" s="16">
        <f>SUM(F5,F6,F7,F8,F9)</f>
        <v>0</v>
      </c>
    </row>
    <row r="11" spans="1:6" ht="12.75">
      <c r="A11" s="696" t="s">
        <v>747</v>
      </c>
      <c r="B11" s="697"/>
      <c r="C11" s="16">
        <f>+AVAP14</f>
        <v>0</v>
      </c>
      <c r="D11" s="16">
        <f>+AVAP15</f>
        <v>0</v>
      </c>
      <c r="E11" s="16">
        <f>+AVAP16</f>
        <v>0</v>
      </c>
      <c r="F11" s="16">
        <f>SUM(C11,D11,E11)</f>
        <v>0</v>
      </c>
    </row>
    <row r="12" spans="1:6" ht="12.75">
      <c r="A12" s="699" t="s">
        <v>46</v>
      </c>
      <c r="B12" s="700"/>
      <c r="C12" s="17">
        <f>C10+C11</f>
        <v>0</v>
      </c>
      <c r="D12" s="17">
        <f>D10+D11</f>
        <v>0</v>
      </c>
      <c r="E12" s="17">
        <f>E10+E11</f>
        <v>0</v>
      </c>
      <c r="F12" s="17">
        <f>F10+F11</f>
        <v>0</v>
      </c>
    </row>
    <row r="13" spans="1:6" ht="12.75">
      <c r="A13" s="13"/>
      <c r="B13" s="695"/>
      <c r="C13" s="701"/>
      <c r="D13" s="701"/>
      <c r="E13" s="701"/>
      <c r="F13" s="701"/>
    </row>
    <row r="14" spans="1:6" ht="12.75">
      <c r="A14" s="13"/>
      <c r="B14" s="695"/>
      <c r="C14" s="701"/>
      <c r="D14" s="701"/>
      <c r="E14" s="701"/>
      <c r="F14" s="1068" t="str">
        <f>"Tab. 46 - "&amp;Comune</f>
        <v>Tab. 46 - </v>
      </c>
    </row>
    <row r="15" spans="1:6" ht="24.75" thickBot="1">
      <c r="A15" s="1207" t="s">
        <v>2</v>
      </c>
      <c r="B15" s="1209"/>
      <c r="C15" s="693" t="s">
        <v>744</v>
      </c>
      <c r="D15" s="693" t="s">
        <v>749</v>
      </c>
      <c r="E15" s="693" t="s">
        <v>1093</v>
      </c>
      <c r="F15" s="694" t="s">
        <v>745</v>
      </c>
    </row>
    <row r="16" spans="1:6" ht="3" customHeight="1">
      <c r="A16" s="13"/>
      <c r="B16" s="13"/>
      <c r="C16" s="701"/>
      <c r="D16" s="701"/>
      <c r="E16" s="701"/>
      <c r="F16" s="701"/>
    </row>
    <row r="17" spans="1:6" ht="12.75">
      <c r="A17" s="696" t="s">
        <v>73</v>
      </c>
      <c r="B17" s="697"/>
      <c r="C17" s="16">
        <f>+ST1P14</f>
        <v>0</v>
      </c>
      <c r="D17" s="16">
        <f>+ST1P15</f>
        <v>0</v>
      </c>
      <c r="E17" s="16">
        <f>+ST1P16</f>
        <v>0</v>
      </c>
      <c r="F17" s="16">
        <f>SUM(C17:E17)</f>
        <v>0</v>
      </c>
    </row>
    <row r="18" spans="1:6" ht="12.75">
      <c r="A18" s="696" t="s">
        <v>74</v>
      </c>
      <c r="B18" s="697"/>
      <c r="C18" s="16">
        <f>+ST2P14</f>
        <v>0</v>
      </c>
      <c r="D18" s="16">
        <f>+ST2P15</f>
        <v>0</v>
      </c>
      <c r="E18" s="16">
        <f>+ST2P16</f>
        <v>0</v>
      </c>
      <c r="F18" s="16">
        <f>SUM(C18,D18,E18)</f>
        <v>0</v>
      </c>
    </row>
    <row r="19" spans="1:6" ht="12.75">
      <c r="A19" s="696" t="s">
        <v>75</v>
      </c>
      <c r="B19" s="697"/>
      <c r="C19" s="16">
        <f>+ST3P14</f>
        <v>0</v>
      </c>
      <c r="D19" s="16">
        <f>+ST3P15</f>
        <v>0</v>
      </c>
      <c r="E19" s="16">
        <f>+ST3P16</f>
        <v>0</v>
      </c>
      <c r="F19" s="16">
        <f>SUM(C19,D19,E19)</f>
        <v>0</v>
      </c>
    </row>
    <row r="20" spans="1:6" ht="12.75">
      <c r="A20" s="698" t="s">
        <v>746</v>
      </c>
      <c r="B20" s="697"/>
      <c r="C20" s="16">
        <f>SUM(C17:C19)</f>
        <v>0</v>
      </c>
      <c r="D20" s="16">
        <f>SUM(D17:D19)</f>
        <v>0</v>
      </c>
      <c r="E20" s="16">
        <f>SUM(E17:E19)</f>
        <v>0</v>
      </c>
      <c r="F20" s="16">
        <f>SUM(C20,D20,E20)</f>
        <v>0</v>
      </c>
    </row>
    <row r="21" spans="1:6" ht="12.75">
      <c r="A21" s="696" t="s">
        <v>748</v>
      </c>
      <c r="B21" s="697"/>
      <c r="C21" s="16">
        <f>+DISAP14</f>
        <v>0</v>
      </c>
      <c r="D21" s="16">
        <f>+DISAP15</f>
        <v>0</v>
      </c>
      <c r="E21" s="16">
        <f>+DISAP16</f>
        <v>0</v>
      </c>
      <c r="F21" s="16">
        <f>SUM(C21,D21,E21)</f>
        <v>0</v>
      </c>
    </row>
    <row r="22" spans="1:6" ht="12.75">
      <c r="A22" s="699" t="s">
        <v>46</v>
      </c>
      <c r="B22" s="700"/>
      <c r="C22" s="17">
        <f>C20+C21</f>
        <v>0</v>
      </c>
      <c r="D22" s="17">
        <f>D20+D21</f>
        <v>0</v>
      </c>
      <c r="E22" s="17">
        <f>E20+E21</f>
        <v>0</v>
      </c>
      <c r="F22" s="17">
        <f>F17+F18+F19+F21</f>
        <v>0</v>
      </c>
    </row>
    <row r="25" spans="1:5" ht="12.75">
      <c r="A25" s="702" t="s">
        <v>203</v>
      </c>
      <c r="B25" s="702"/>
      <c r="C25" s="703">
        <f>+C12-C22</f>
        <v>0</v>
      </c>
      <c r="D25" s="703">
        <f>+D12-D22</f>
        <v>0</v>
      </c>
      <c r="E25" s="703">
        <f>+E12-E22</f>
        <v>0</v>
      </c>
    </row>
  </sheetData>
  <sheetProtection/>
  <mergeCells count="2">
    <mergeCell ref="A3:B3"/>
    <mergeCell ref="A15:B15"/>
  </mergeCells>
  <hyperlinks>
    <hyperlink ref="H1" location="'Inserimento dati'!A1" display="InsDati"/>
    <hyperlink ref="H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10" zoomScaleNormal="110" zoomScalePageLayoutView="0" workbookViewId="0" topLeftCell="A1">
      <selection activeCell="J20" sqref="J20"/>
    </sheetView>
  </sheetViews>
  <sheetFormatPr defaultColWidth="9.140625" defaultRowHeight="12.75"/>
  <cols>
    <col min="2" max="2" width="22.421875" style="0" customWidth="1"/>
    <col min="3" max="3" width="13.7109375" style="0" customWidth="1"/>
    <col min="4" max="4" width="9.140625" style="0" customWidth="1"/>
    <col min="5" max="5" width="21.7109375" style="0" customWidth="1"/>
    <col min="6" max="6" width="13.7109375" style="0" customWidth="1"/>
    <col min="8" max="8" width="27.7109375" style="0" customWidth="1"/>
    <col min="9" max="9" width="4.421875" style="504" customWidth="1"/>
    <col min="10" max="10" width="18.28125" style="0" customWidth="1"/>
  </cols>
  <sheetData>
    <row r="1" spans="2:6" ht="10.5" customHeight="1">
      <c r="B1" s="6"/>
      <c r="C1" s="6"/>
      <c r="D1" s="6"/>
      <c r="E1" s="6"/>
      <c r="F1" s="855" t="str">
        <f>"Tab. 2 - "&amp;Comune</f>
        <v>Tab. 2 - </v>
      </c>
    </row>
    <row r="2" spans="1:8" ht="15">
      <c r="A2" s="1109" t="s">
        <v>1044</v>
      </c>
      <c r="B2" s="1110"/>
      <c r="C2" s="1110"/>
      <c r="D2" s="1110"/>
      <c r="E2" s="1110"/>
      <c r="F2" s="1111"/>
      <c r="H2" s="555" t="s">
        <v>624</v>
      </c>
    </row>
    <row r="3" spans="1:8" ht="15">
      <c r="A3" s="1112" t="s">
        <v>1</v>
      </c>
      <c r="B3" s="1113"/>
      <c r="C3" s="505"/>
      <c r="D3" s="1112" t="s">
        <v>2</v>
      </c>
      <c r="E3" s="1113"/>
      <c r="F3" s="506"/>
      <c r="H3" s="748" t="s">
        <v>777</v>
      </c>
    </row>
    <row r="4" spans="1:6" ht="3" customHeight="1">
      <c r="A4" s="507"/>
      <c r="B4" s="508"/>
      <c r="C4" s="509"/>
      <c r="D4" s="510"/>
      <c r="E4" s="511"/>
      <c r="F4" s="512"/>
    </row>
    <row r="5" spans="1:6" ht="12.75">
      <c r="A5" s="556" t="s">
        <v>573</v>
      </c>
      <c r="B5" s="513" t="s">
        <v>574</v>
      </c>
      <c r="C5" s="514">
        <f>+ET1P14</f>
        <v>0</v>
      </c>
      <c r="D5" s="559" t="s">
        <v>573</v>
      </c>
      <c r="E5" s="513" t="s">
        <v>3</v>
      </c>
      <c r="F5" s="514">
        <f>+ST1P14</f>
        <v>0</v>
      </c>
    </row>
    <row r="6" spans="1:8" ht="48">
      <c r="A6" s="557" t="s">
        <v>575</v>
      </c>
      <c r="B6" s="515" t="s">
        <v>576</v>
      </c>
      <c r="C6" s="516">
        <f>+ET2P14</f>
        <v>0</v>
      </c>
      <c r="D6" s="521" t="s">
        <v>575</v>
      </c>
      <c r="E6" s="750" t="s">
        <v>4</v>
      </c>
      <c r="F6" s="516">
        <f>+ST2P14</f>
        <v>0</v>
      </c>
      <c r="H6" s="518">
        <f>+F6*30%</f>
        <v>0</v>
      </c>
    </row>
    <row r="7" spans="1:11" ht="12.75">
      <c r="A7" s="558" t="s">
        <v>577</v>
      </c>
      <c r="B7" s="517" t="s">
        <v>5</v>
      </c>
      <c r="C7" s="516">
        <f>+ET3P14</f>
        <v>0</v>
      </c>
      <c r="D7" s="560"/>
      <c r="E7" s="519"/>
      <c r="F7" s="516"/>
      <c r="H7" s="459" t="s">
        <v>523</v>
      </c>
      <c r="I7" s="461"/>
      <c r="J7" s="460"/>
      <c r="K7" s="461"/>
    </row>
    <row r="8" spans="1:8" ht="36">
      <c r="A8" s="557" t="s">
        <v>578</v>
      </c>
      <c r="B8" s="515" t="s">
        <v>579</v>
      </c>
      <c r="C8" s="516">
        <f>+ET4P14</f>
        <v>0</v>
      </c>
      <c r="D8" s="521"/>
      <c r="E8" s="517"/>
      <c r="F8" s="516"/>
      <c r="H8" s="518">
        <f>+C8*30%</f>
        <v>0</v>
      </c>
    </row>
    <row r="9" spans="1:6" ht="24">
      <c r="A9" s="557" t="s">
        <v>580</v>
      </c>
      <c r="B9" s="515" t="s">
        <v>581</v>
      </c>
      <c r="C9" s="516">
        <f>+ET5P14</f>
        <v>0</v>
      </c>
      <c r="D9" s="561" t="s">
        <v>577</v>
      </c>
      <c r="E9" s="515" t="s">
        <v>582</v>
      </c>
      <c r="F9" s="516">
        <f>+ST3P14</f>
        <v>0</v>
      </c>
    </row>
    <row r="10" spans="1:6" ht="24">
      <c r="A10" s="557" t="s">
        <v>583</v>
      </c>
      <c r="B10" s="515" t="s">
        <v>584</v>
      </c>
      <c r="C10" s="516">
        <f>+ET6P14</f>
        <v>0</v>
      </c>
      <c r="D10" s="561" t="s">
        <v>578</v>
      </c>
      <c r="E10" s="515" t="s">
        <v>585</v>
      </c>
      <c r="F10" s="516">
        <f>+ST4P14</f>
        <v>0</v>
      </c>
    </row>
    <row r="11" spans="1:8" ht="12.75">
      <c r="A11" s="520"/>
      <c r="B11" s="521" t="s">
        <v>6</v>
      </c>
      <c r="C11" s="522">
        <f>SUM(C5:C10)</f>
        <v>0</v>
      </c>
      <c r="D11" s="523"/>
      <c r="E11" s="521" t="s">
        <v>6</v>
      </c>
      <c r="F11" s="522">
        <f>SUM(F5:F10)</f>
        <v>0</v>
      </c>
      <c r="H11" s="749"/>
    </row>
    <row r="12" spans="1:6" ht="24.75" customHeight="1">
      <c r="A12" s="1114" t="s">
        <v>1045</v>
      </c>
      <c r="B12" s="1115"/>
      <c r="C12" s="516">
        <f>+AVA13</f>
        <v>0</v>
      </c>
      <c r="D12" s="1116" t="s">
        <v>1046</v>
      </c>
      <c r="E12" s="1115"/>
      <c r="F12" s="516">
        <f>+DISA13</f>
        <v>0</v>
      </c>
    </row>
    <row r="13" spans="1:6" ht="3.75" customHeight="1">
      <c r="A13" s="507"/>
      <c r="B13" s="508"/>
      <c r="C13" s="509"/>
      <c r="D13" s="510"/>
      <c r="E13" s="511"/>
      <c r="F13" s="512"/>
    </row>
    <row r="14" spans="1:6" ht="18" customHeight="1">
      <c r="A14" s="1117" t="s">
        <v>586</v>
      </c>
      <c r="B14" s="1118"/>
      <c r="C14" s="524">
        <f>C11+C12</f>
        <v>0</v>
      </c>
      <c r="D14" s="1119" t="s">
        <v>587</v>
      </c>
      <c r="E14" s="1118"/>
      <c r="F14" s="524">
        <f>F11+F12</f>
        <v>0</v>
      </c>
    </row>
    <row r="15" ht="6" customHeight="1"/>
    <row r="17" spans="1:6" ht="12.75">
      <c r="A17" s="702" t="s">
        <v>769</v>
      </c>
      <c r="B17" s="702"/>
      <c r="C17" s="703">
        <f>+C14-TEP14</f>
        <v>0</v>
      </c>
      <c r="D17" s="702"/>
      <c r="E17" s="702"/>
      <c r="F17" s="703">
        <f>+F14-TSP14</f>
        <v>0</v>
      </c>
    </row>
    <row r="19" ht="12.75">
      <c r="H19" s="3" t="s">
        <v>588</v>
      </c>
    </row>
    <row r="20" ht="12.75">
      <c r="J20" s="855" t="str">
        <f>"Tab. 3 - "&amp;Comune</f>
        <v>Tab. 3 - </v>
      </c>
    </row>
    <row r="21" spans="8:10" ht="18.75" customHeight="1">
      <c r="H21" s="1" t="s">
        <v>589</v>
      </c>
      <c r="I21" s="525"/>
      <c r="J21" s="2"/>
    </row>
    <row r="22" spans="8:10" ht="18.75" customHeight="1">
      <c r="H22" s="2" t="s">
        <v>590</v>
      </c>
      <c r="I22" s="525" t="s">
        <v>591</v>
      </c>
      <c r="J22" s="526">
        <f>+ECOP14+ET4P14</f>
        <v>0</v>
      </c>
    </row>
    <row r="23" spans="8:10" ht="18.75" customHeight="1">
      <c r="H23" s="2" t="s">
        <v>592</v>
      </c>
      <c r="I23" s="525" t="s">
        <v>7</v>
      </c>
      <c r="J23" s="526">
        <f>-ST1P14-ST2P14</f>
        <v>0</v>
      </c>
    </row>
    <row r="24" spans="8:10" ht="18.75" customHeight="1">
      <c r="H24" s="1" t="s">
        <v>593</v>
      </c>
      <c r="I24" s="525" t="s">
        <v>7</v>
      </c>
      <c r="J24" s="527">
        <f>+IF((J22-J23)&lt;0,J22-J23,0)</f>
        <v>0</v>
      </c>
    </row>
    <row r="25" spans="8:10" ht="18.75" customHeight="1">
      <c r="H25" s="1" t="s">
        <v>594</v>
      </c>
      <c r="I25" s="525" t="s">
        <v>591</v>
      </c>
      <c r="J25" s="527">
        <f>+IF((J22-J23)&gt;0,J22-J23,0)</f>
        <v>0</v>
      </c>
    </row>
  </sheetData>
  <sheetProtection/>
  <mergeCells count="7">
    <mergeCell ref="A2:F2"/>
    <mergeCell ref="A3:B3"/>
    <mergeCell ref="D3:E3"/>
    <mergeCell ref="A12:B12"/>
    <mergeCell ref="D12:E12"/>
    <mergeCell ref="A14:B14"/>
    <mergeCell ref="D14:E14"/>
  </mergeCells>
  <hyperlinks>
    <hyperlink ref="H2" location="'Inserimento dati'!A1" display="InsDati"/>
    <hyperlink ref="H3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I2" sqref="I2"/>
    </sheetView>
  </sheetViews>
  <sheetFormatPr defaultColWidth="9.140625" defaultRowHeight="12.75"/>
  <cols>
    <col min="1" max="1" width="3.7109375" style="0" bestFit="1" customWidth="1"/>
    <col min="2" max="2" width="31.421875" style="0" customWidth="1"/>
    <col min="3" max="4" width="12.7109375" style="0" customWidth="1"/>
    <col min="5" max="5" width="8.7109375" style="0" customWidth="1"/>
    <col min="6" max="6" width="12.7109375" style="0" customWidth="1"/>
    <col min="7" max="7" width="8.7109375" style="0" customWidth="1"/>
  </cols>
  <sheetData>
    <row r="1" spans="2:9" ht="12.75">
      <c r="B1" s="5" t="s">
        <v>750</v>
      </c>
      <c r="I1" s="684" t="s">
        <v>624</v>
      </c>
    </row>
    <row r="2" spans="1:9" ht="14.25" customHeight="1">
      <c r="A2" s="701"/>
      <c r="B2" s="704"/>
      <c r="C2" s="705"/>
      <c r="D2" s="705"/>
      <c r="E2" s="705"/>
      <c r="F2" s="705"/>
      <c r="G2" s="1068" t="str">
        <f>"Tab. 47 - "&amp;Comune</f>
        <v>Tab. 47 - </v>
      </c>
      <c r="I2" s="748" t="s">
        <v>777</v>
      </c>
    </row>
    <row r="3" spans="1:7" ht="18" customHeight="1">
      <c r="A3" s="1210" t="s">
        <v>751</v>
      </c>
      <c r="B3" s="1210"/>
      <c r="C3" s="1210"/>
      <c r="D3" s="1210"/>
      <c r="E3" s="1210"/>
      <c r="F3" s="1210"/>
      <c r="G3" s="1210"/>
    </row>
    <row r="4" spans="1:7" ht="3.75" customHeight="1">
      <c r="A4" s="706"/>
      <c r="B4" s="707"/>
      <c r="C4" s="708"/>
      <c r="D4" s="708"/>
      <c r="E4" s="708"/>
      <c r="F4" s="708"/>
      <c r="G4" s="708"/>
    </row>
    <row r="5" spans="1:7" ht="23.25" thickBot="1">
      <c r="A5" s="706"/>
      <c r="B5" s="707"/>
      <c r="C5" s="709" t="s">
        <v>752</v>
      </c>
      <c r="D5" s="709" t="s">
        <v>755</v>
      </c>
      <c r="E5" s="709" t="s">
        <v>756</v>
      </c>
      <c r="F5" s="709" t="s">
        <v>1094</v>
      </c>
      <c r="G5" s="709" t="s">
        <v>1095</v>
      </c>
    </row>
    <row r="6" spans="1:7" ht="3.75" customHeight="1" thickTop="1">
      <c r="A6" s="706"/>
      <c r="B6" s="707"/>
      <c r="C6" s="710"/>
      <c r="D6" s="710"/>
      <c r="E6" s="710"/>
      <c r="F6" s="710"/>
      <c r="G6" s="710"/>
    </row>
    <row r="7" spans="1:7" ht="12.75">
      <c r="A7" s="711" t="s">
        <v>54</v>
      </c>
      <c r="B7" s="712" t="s">
        <v>55</v>
      </c>
      <c r="C7" s="1032">
        <f>+I1P14</f>
        <v>0</v>
      </c>
      <c r="D7" s="1032">
        <f>+I1P15</f>
        <v>0</v>
      </c>
      <c r="E7" s="714" t="e">
        <f>+ROUND((D7-C7)/C7,4)</f>
        <v>#DIV/0!</v>
      </c>
      <c r="F7" s="1032">
        <f>+I1P16</f>
        <v>0</v>
      </c>
      <c r="G7" s="714" t="e">
        <f>+ROUND((F7-D7)/D7,4)</f>
        <v>#DIV/0!</v>
      </c>
    </row>
    <row r="8" spans="1:7" ht="12.75">
      <c r="A8" s="711" t="s">
        <v>56</v>
      </c>
      <c r="B8" s="715" t="s">
        <v>753</v>
      </c>
      <c r="C8" s="1036">
        <f>+I2P14</f>
        <v>0</v>
      </c>
      <c r="D8" s="1036">
        <f>+I2P15</f>
        <v>0</v>
      </c>
      <c r="E8" s="714" t="e">
        <f aca="true" t="shared" si="0" ref="E8:E18">+ROUND((D8-C8)/C8,4)</f>
        <v>#DIV/0!</v>
      </c>
      <c r="F8" s="1036">
        <f>+I2P16</f>
        <v>0</v>
      </c>
      <c r="G8" s="714" t="e">
        <f aca="true" t="shared" si="1" ref="G8:G18">+ROUND((F8-D8)/D8,4)</f>
        <v>#DIV/0!</v>
      </c>
    </row>
    <row r="9" spans="1:7" ht="12.75">
      <c r="A9" s="711" t="s">
        <v>57</v>
      </c>
      <c r="B9" s="712" t="s">
        <v>58</v>
      </c>
      <c r="C9" s="1036">
        <f>+I3P14</f>
        <v>0</v>
      </c>
      <c r="D9" s="1036">
        <f>+I3P15</f>
        <v>0</v>
      </c>
      <c r="E9" s="714" t="e">
        <f t="shared" si="0"/>
        <v>#DIV/0!</v>
      </c>
      <c r="F9" s="1036">
        <f>+I3P16</f>
        <v>0</v>
      </c>
      <c r="G9" s="714" t="e">
        <f t="shared" si="1"/>
        <v>#DIV/0!</v>
      </c>
    </row>
    <row r="10" spans="1:7" ht="12.75">
      <c r="A10" s="711" t="s">
        <v>59</v>
      </c>
      <c r="B10" s="712" t="s">
        <v>60</v>
      </c>
      <c r="C10" s="1036">
        <f>+I4P14</f>
        <v>0</v>
      </c>
      <c r="D10" s="1036">
        <f>+I4P15</f>
        <v>0</v>
      </c>
      <c r="E10" s="714" t="e">
        <f t="shared" si="0"/>
        <v>#DIV/0!</v>
      </c>
      <c r="F10" s="1036">
        <f>+I4P16</f>
        <v>0</v>
      </c>
      <c r="G10" s="714" t="e">
        <f t="shared" si="1"/>
        <v>#DIV/0!</v>
      </c>
    </row>
    <row r="11" spans="1:7" ht="12.75">
      <c r="A11" s="711" t="s">
        <v>61</v>
      </c>
      <c r="B11" s="712" t="s">
        <v>62</v>
      </c>
      <c r="C11" s="1036">
        <f>+I5P14</f>
        <v>0</v>
      </c>
      <c r="D11" s="1036">
        <f>+I5P15</f>
        <v>0</v>
      </c>
      <c r="E11" s="714" t="e">
        <f t="shared" si="0"/>
        <v>#DIV/0!</v>
      </c>
      <c r="F11" s="1036">
        <f>+I5P16</f>
        <v>0</v>
      </c>
      <c r="G11" s="714" t="e">
        <f t="shared" si="1"/>
        <v>#DIV/0!</v>
      </c>
    </row>
    <row r="12" spans="1:7" ht="12.75">
      <c r="A12" s="711" t="s">
        <v>63</v>
      </c>
      <c r="B12" s="712" t="s">
        <v>754</v>
      </c>
      <c r="C12" s="1036">
        <f>+I6P14</f>
        <v>0</v>
      </c>
      <c r="D12" s="1036">
        <f>+I6P15</f>
        <v>0</v>
      </c>
      <c r="E12" s="714" t="e">
        <f t="shared" si="0"/>
        <v>#DIV/0!</v>
      </c>
      <c r="F12" s="1036">
        <f>+I6P16</f>
        <v>0</v>
      </c>
      <c r="G12" s="714" t="e">
        <f t="shared" si="1"/>
        <v>#DIV/0!</v>
      </c>
    </row>
    <row r="13" spans="1:7" ht="12.75">
      <c r="A13" s="711" t="s">
        <v>64</v>
      </c>
      <c r="B13" s="712" t="s">
        <v>65</v>
      </c>
      <c r="C13" s="1036">
        <f>+I7P14</f>
        <v>0</v>
      </c>
      <c r="D13" s="1036">
        <f>+I7P15</f>
        <v>0</v>
      </c>
      <c r="E13" s="714" t="e">
        <f t="shared" si="0"/>
        <v>#DIV/0!</v>
      </c>
      <c r="F13" s="1036">
        <f>+I7P16</f>
        <v>0</v>
      </c>
      <c r="G13" s="714" t="e">
        <f t="shared" si="1"/>
        <v>#DIV/0!</v>
      </c>
    </row>
    <row r="14" spans="1:7" ht="12.75">
      <c r="A14" s="711" t="s">
        <v>66</v>
      </c>
      <c r="B14" s="712" t="s">
        <v>78</v>
      </c>
      <c r="C14" s="1036">
        <f>+I8P14</f>
        <v>0</v>
      </c>
      <c r="D14" s="1036">
        <f>+I8P15</f>
        <v>0</v>
      </c>
      <c r="E14" s="714" t="e">
        <f t="shared" si="0"/>
        <v>#DIV/0!</v>
      </c>
      <c r="F14" s="1036">
        <f>+I8P16</f>
        <v>0</v>
      </c>
      <c r="G14" s="714" t="e">
        <f t="shared" si="1"/>
        <v>#DIV/0!</v>
      </c>
    </row>
    <row r="15" spans="1:7" ht="12.75">
      <c r="A15" s="711" t="s">
        <v>684</v>
      </c>
      <c r="B15" s="712" t="s">
        <v>685</v>
      </c>
      <c r="C15" s="1036">
        <f>+I9P14</f>
        <v>0</v>
      </c>
      <c r="D15" s="1036">
        <f>+I9P15</f>
        <v>0</v>
      </c>
      <c r="E15" s="714" t="e">
        <f t="shared" si="0"/>
        <v>#DIV/0!</v>
      </c>
      <c r="F15" s="1036">
        <f>+I9P16</f>
        <v>0</v>
      </c>
      <c r="G15" s="714" t="e">
        <f t="shared" si="1"/>
        <v>#DIV/0!</v>
      </c>
    </row>
    <row r="16" spans="1:7" ht="12.75">
      <c r="A16" s="711" t="s">
        <v>682</v>
      </c>
      <c r="B16" s="712" t="s">
        <v>686</v>
      </c>
      <c r="C16" s="1036">
        <f>+I10P14</f>
        <v>0</v>
      </c>
      <c r="D16" s="1036">
        <f>+I10P15</f>
        <v>0</v>
      </c>
      <c r="E16" s="714" t="e">
        <f t="shared" si="0"/>
        <v>#DIV/0!</v>
      </c>
      <c r="F16" s="1036">
        <f>+I10P16</f>
        <v>0</v>
      </c>
      <c r="G16" s="714" t="e">
        <f t="shared" si="1"/>
        <v>#DIV/0!</v>
      </c>
    </row>
    <row r="17" spans="1:7" ht="12.75">
      <c r="A17" s="711" t="s">
        <v>683</v>
      </c>
      <c r="B17" s="712" t="s">
        <v>687</v>
      </c>
      <c r="C17" s="1036">
        <f>+I11P14</f>
        <v>0</v>
      </c>
      <c r="D17" s="1036">
        <f>+I11P15</f>
        <v>0</v>
      </c>
      <c r="E17" s="714" t="e">
        <f t="shared" si="0"/>
        <v>#DIV/0!</v>
      </c>
      <c r="F17" s="1036">
        <f>+I11P16</f>
        <v>0</v>
      </c>
      <c r="G17" s="714" t="e">
        <f t="shared" si="1"/>
        <v>#DIV/0!</v>
      </c>
    </row>
    <row r="18" spans="1:7" ht="16.5" customHeight="1">
      <c r="A18" s="1210" t="s">
        <v>67</v>
      </c>
      <c r="B18" s="1211"/>
      <c r="C18" s="716">
        <f>SUM(C7:C17)</f>
        <v>0</v>
      </c>
      <c r="D18" s="716">
        <f>SUM(D7:D17)</f>
        <v>0</v>
      </c>
      <c r="E18" s="717" t="e">
        <f t="shared" si="0"/>
        <v>#DIV/0!</v>
      </c>
      <c r="F18" s="716">
        <f>SUM(F7:F17)</f>
        <v>0</v>
      </c>
      <c r="G18" s="717" t="e">
        <f t="shared" si="1"/>
        <v>#DIV/0!</v>
      </c>
    </row>
    <row r="20" spans="2:6" ht="12.75">
      <c r="B20" s="718" t="s">
        <v>203</v>
      </c>
      <c r="C20" s="703">
        <f>+C18-ST1P14</f>
        <v>0</v>
      </c>
      <c r="D20" s="703">
        <f>+D18-ST1P15</f>
        <v>0</v>
      </c>
      <c r="E20" s="702"/>
      <c r="F20" s="703">
        <f>+F18-ST1P16</f>
        <v>0</v>
      </c>
    </row>
  </sheetData>
  <sheetProtection/>
  <mergeCells count="2">
    <mergeCell ref="A3:G3"/>
    <mergeCell ref="A18:B18"/>
  </mergeCells>
  <hyperlinks>
    <hyperlink ref="I1" location="'Inserimento dati'!A1" display="InsDati"/>
    <hyperlink ref="I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28125" style="0" bestFit="1" customWidth="1"/>
    <col min="2" max="5" width="14.421875" style="0" customWidth="1"/>
  </cols>
  <sheetData>
    <row r="1" spans="1:7" ht="12.75">
      <c r="A1" s="6"/>
      <c r="B1" s="6"/>
      <c r="C1" s="6"/>
      <c r="D1" s="6"/>
      <c r="E1" s="1068" t="str">
        <f>"Tab. 48 - "&amp;Comune</f>
        <v>Tab. 48 - </v>
      </c>
      <c r="G1" s="684" t="s">
        <v>624</v>
      </c>
    </row>
    <row r="2" spans="1:7" ht="12.75">
      <c r="A2" s="719" t="s">
        <v>757</v>
      </c>
      <c r="B2" s="720"/>
      <c r="C2" s="720"/>
      <c r="D2" s="720"/>
      <c r="E2" s="721"/>
      <c r="G2" s="748" t="s">
        <v>777</v>
      </c>
    </row>
    <row r="3" spans="1:5" ht="3.75" customHeight="1">
      <c r="A3" s="722"/>
      <c r="B3" s="723"/>
      <c r="C3" s="723"/>
      <c r="D3" s="723"/>
      <c r="E3" s="724"/>
    </row>
    <row r="4" spans="1:5" ht="4.5" customHeight="1">
      <c r="A4" s="13"/>
      <c r="B4" s="701"/>
      <c r="C4" s="701"/>
      <c r="D4" s="701"/>
      <c r="E4" s="701"/>
    </row>
    <row r="5" spans="1:5" ht="24.75" thickBot="1">
      <c r="A5" s="13"/>
      <c r="B5" s="693" t="s">
        <v>752</v>
      </c>
      <c r="C5" s="693" t="s">
        <v>755</v>
      </c>
      <c r="D5" s="693" t="s">
        <v>1094</v>
      </c>
      <c r="E5" s="694" t="s">
        <v>745</v>
      </c>
    </row>
    <row r="6" spans="1:5" ht="12.75">
      <c r="A6" s="725" t="s">
        <v>76</v>
      </c>
      <c r="B6" s="726"/>
      <c r="C6" s="726"/>
      <c r="D6" s="726"/>
      <c r="E6" s="726"/>
    </row>
    <row r="7" spans="1:5" ht="12.75">
      <c r="A7" s="696" t="s">
        <v>758</v>
      </c>
      <c r="B7" s="16"/>
      <c r="C7" s="727"/>
      <c r="D7" s="727"/>
      <c r="E7" s="16">
        <f>SUM(B7:D7)</f>
        <v>0</v>
      </c>
    </row>
    <row r="8" spans="1:5" ht="12.75">
      <c r="A8" s="696" t="s">
        <v>759</v>
      </c>
      <c r="B8" s="16"/>
      <c r="C8" s="727"/>
      <c r="D8" s="727"/>
      <c r="E8" s="16">
        <f>SUM(B8:D8)</f>
        <v>0</v>
      </c>
    </row>
    <row r="9" spans="1:5" ht="12.75">
      <c r="A9" s="696" t="s">
        <v>760</v>
      </c>
      <c r="B9" s="16"/>
      <c r="C9" s="727"/>
      <c r="D9" s="727"/>
      <c r="E9" s="16">
        <f>SUM(B9:D9)</f>
        <v>0</v>
      </c>
    </row>
    <row r="10" spans="1:5" ht="12.75">
      <c r="A10" s="696" t="s">
        <v>761</v>
      </c>
      <c r="B10" s="16"/>
      <c r="C10" s="727"/>
      <c r="D10" s="727"/>
      <c r="E10" s="16">
        <f>SUM(B10:D10)</f>
        <v>0</v>
      </c>
    </row>
    <row r="11" spans="1:5" ht="12.75">
      <c r="A11" s="699" t="s">
        <v>46</v>
      </c>
      <c r="B11" s="17">
        <f>SUM(B7:B10)</f>
        <v>0</v>
      </c>
      <c r="C11" s="17">
        <f>SUM(C7:C10)</f>
        <v>0</v>
      </c>
      <c r="D11" s="17">
        <f>SUM(D7:D10)</f>
        <v>0</v>
      </c>
      <c r="E11" s="17">
        <f>SUM(E7:E10)</f>
        <v>0</v>
      </c>
    </row>
    <row r="12" spans="1:5" ht="12.75">
      <c r="A12" s="728" t="s">
        <v>77</v>
      </c>
      <c r="B12" s="729"/>
      <c r="C12" s="729"/>
      <c r="D12" s="729"/>
      <c r="E12" s="729"/>
    </row>
    <row r="13" spans="1:5" ht="12.75">
      <c r="A13" s="696" t="s">
        <v>762</v>
      </c>
      <c r="B13" s="16"/>
      <c r="C13" s="16"/>
      <c r="D13" s="16"/>
      <c r="E13" s="16"/>
    </row>
    <row r="14" spans="1:5" ht="12.75">
      <c r="A14" s="696" t="s">
        <v>763</v>
      </c>
      <c r="B14" s="16"/>
      <c r="C14" s="16"/>
      <c r="D14" s="16"/>
      <c r="E14" s="16"/>
    </row>
    <row r="15" spans="1:5" ht="12.75">
      <c r="A15" s="696" t="s">
        <v>764</v>
      </c>
      <c r="B15" s="16"/>
      <c r="C15" s="16"/>
      <c r="D15" s="16"/>
      <c r="E15" s="16"/>
    </row>
    <row r="16" spans="1:5" ht="12.75">
      <c r="A16" s="699" t="s">
        <v>46</v>
      </c>
      <c r="B16" s="17">
        <f>SUM(B13:B15)</f>
        <v>0</v>
      </c>
      <c r="C16" s="17">
        <f>SUM(C13:C15)</f>
        <v>0</v>
      </c>
      <c r="D16" s="17">
        <f>SUM(D13:D15)</f>
        <v>0</v>
      </c>
      <c r="E16" s="17">
        <f>SUM(E13:E15)</f>
        <v>0</v>
      </c>
    </row>
    <row r="17" spans="1:5" ht="12.75">
      <c r="A17" s="730"/>
      <c r="B17" s="731"/>
      <c r="C17" s="731"/>
      <c r="D17" s="731"/>
      <c r="E17" s="731"/>
    </row>
    <row r="18" spans="1:5" ht="12.75">
      <c r="A18" s="696" t="s">
        <v>765</v>
      </c>
      <c r="B18" s="16"/>
      <c r="C18" s="16"/>
      <c r="D18" s="16"/>
      <c r="E18" s="16"/>
    </row>
    <row r="19" spans="1:5" ht="12.75">
      <c r="A19" s="732" t="s">
        <v>766</v>
      </c>
      <c r="B19" s="16"/>
      <c r="C19" s="16"/>
      <c r="D19" s="16"/>
      <c r="E19" s="16"/>
    </row>
    <row r="20" spans="1:5" ht="2.25" customHeight="1" thickBot="1">
      <c r="A20" s="733"/>
      <c r="B20" s="734"/>
      <c r="C20" s="734"/>
      <c r="D20" s="734"/>
      <c r="E20" s="735"/>
    </row>
    <row r="21" spans="1:5" ht="12.75">
      <c r="A21" s="736" t="s">
        <v>46</v>
      </c>
      <c r="B21" s="737">
        <f>SUM(B11+B16+B18+B19)</f>
        <v>0</v>
      </c>
      <c r="C21" s="737">
        <f>SUM(C11+C16+C18+C19)</f>
        <v>0</v>
      </c>
      <c r="D21" s="737">
        <f>SUM(D11+D16+D18+D19)</f>
        <v>0</v>
      </c>
      <c r="E21" s="737">
        <f>SUM(E11+E16+E18+E19)</f>
        <v>0</v>
      </c>
    </row>
    <row r="22" spans="1:5" ht="3" customHeight="1">
      <c r="A22" s="738"/>
      <c r="B22" s="739"/>
      <c r="C22" s="739"/>
      <c r="D22" s="739"/>
      <c r="E22" s="740"/>
    </row>
    <row r="23" spans="1:5" ht="4.5" customHeight="1">
      <c r="A23" s="67"/>
      <c r="B23" s="528"/>
      <c r="C23" s="528"/>
      <c r="D23" s="528"/>
      <c r="E23" s="528"/>
    </row>
    <row r="24" spans="1:5" ht="6.75" customHeight="1" thickBot="1">
      <c r="A24" s="67"/>
      <c r="B24" s="528"/>
      <c r="C24" s="528"/>
      <c r="D24" s="528"/>
      <c r="E24" s="528"/>
    </row>
    <row r="25" spans="1:5" ht="12.75">
      <c r="A25" s="741" t="s">
        <v>767</v>
      </c>
      <c r="B25" s="737">
        <f>+ST2P14</f>
        <v>0</v>
      </c>
      <c r="C25" s="737">
        <f>+ST2P15</f>
        <v>0</v>
      </c>
      <c r="D25" s="737">
        <f>+ST2P16</f>
        <v>0</v>
      </c>
      <c r="E25" s="737">
        <f>SUM(B25:D25)</f>
        <v>0</v>
      </c>
    </row>
    <row r="26" spans="1:5" ht="13.5" thickBot="1">
      <c r="A26" s="67"/>
      <c r="B26" s="528"/>
      <c r="C26" s="528"/>
      <c r="D26" s="528"/>
      <c r="E26" s="528"/>
    </row>
    <row r="27" spans="1:5" ht="12.75">
      <c r="A27" s="742" t="s">
        <v>768</v>
      </c>
      <c r="B27" s="743">
        <f>+B21-B25</f>
        <v>0</v>
      </c>
      <c r="C27" s="743">
        <f>+C21-C25</f>
        <v>0</v>
      </c>
      <c r="D27" s="743">
        <f>+D21-D25</f>
        <v>0</v>
      </c>
      <c r="E27" s="743">
        <f>+E21-E25</f>
        <v>0</v>
      </c>
    </row>
    <row r="28" spans="2:5" ht="12.75">
      <c r="B28" s="532"/>
      <c r="C28" s="532"/>
      <c r="D28" s="532"/>
      <c r="E28" s="532"/>
    </row>
    <row r="29" spans="1:5" ht="12.75">
      <c r="A29" s="702" t="s">
        <v>769</v>
      </c>
      <c r="B29" s="532"/>
      <c r="C29" s="532"/>
      <c r="D29" s="532"/>
      <c r="E29" s="532"/>
    </row>
    <row r="30" spans="1:5" ht="12.75">
      <c r="A30" s="2" t="s">
        <v>76</v>
      </c>
      <c r="B30" s="28">
        <f>+ET4P14-'copertura invest'!B11</f>
        <v>0</v>
      </c>
      <c r="C30" s="28">
        <f>+ET4P15-'copertura invest'!C11</f>
        <v>0</v>
      </c>
      <c r="D30" s="28">
        <f>+ET4P16-'copertura invest'!D11</f>
        <v>0</v>
      </c>
      <c r="E30" s="532"/>
    </row>
    <row r="31" spans="1:5" ht="12.75">
      <c r="A31" s="2" t="s">
        <v>77</v>
      </c>
      <c r="B31" s="28">
        <f>++ET5P14-B16</f>
        <v>0</v>
      </c>
      <c r="C31" s="28">
        <f>+ET5P15-C16</f>
        <v>0</v>
      </c>
      <c r="D31" s="28">
        <f>+ET5P16-D16</f>
        <v>0</v>
      </c>
      <c r="E31" s="532"/>
    </row>
    <row r="32" spans="2:5" ht="12.75">
      <c r="B32" s="532"/>
      <c r="C32" s="532"/>
      <c r="D32" s="532"/>
      <c r="E32" s="532"/>
    </row>
    <row r="33" spans="2:5" ht="12.75">
      <c r="B33" s="532"/>
      <c r="C33" s="532"/>
      <c r="D33" s="532"/>
      <c r="E33" s="532"/>
    </row>
    <row r="34" spans="2:5" ht="12.75">
      <c r="B34" s="532"/>
      <c r="C34" s="532"/>
      <c r="D34" s="532"/>
      <c r="E34" s="532"/>
    </row>
    <row r="35" spans="2:5" ht="12.75">
      <c r="B35" s="532"/>
      <c r="C35" s="532"/>
      <c r="D35" s="532"/>
      <c r="E35" s="532"/>
    </row>
    <row r="36" spans="2:5" ht="12.75">
      <c r="B36" s="532"/>
      <c r="C36" s="532"/>
      <c r="D36" s="532"/>
      <c r="E36" s="532"/>
    </row>
    <row r="37" spans="2:5" ht="12.75">
      <c r="B37" s="532"/>
      <c r="C37" s="532"/>
      <c r="D37" s="532"/>
      <c r="E37" s="532"/>
    </row>
    <row r="38" spans="2:5" ht="12.75">
      <c r="B38" s="532"/>
      <c r="C38" s="532"/>
      <c r="D38" s="532"/>
      <c r="E38" s="532"/>
    </row>
    <row r="39" spans="2:5" ht="12.75">
      <c r="B39" s="532"/>
      <c r="C39" s="532"/>
      <c r="D39" s="532"/>
      <c r="E39" s="532"/>
    </row>
    <row r="40" spans="2:5" ht="12.75">
      <c r="B40" s="532"/>
      <c r="C40" s="532"/>
      <c r="D40" s="532"/>
      <c r="E40" s="532"/>
    </row>
    <row r="41" spans="2:5" ht="12.75">
      <c r="B41" s="532"/>
      <c r="C41" s="532"/>
      <c r="D41" s="532"/>
      <c r="E41" s="532"/>
    </row>
    <row r="42" spans="2:5" ht="12.75">
      <c r="B42" s="532"/>
      <c r="C42" s="532"/>
      <c r="D42" s="532"/>
      <c r="E42" s="532"/>
    </row>
    <row r="43" spans="2:5" ht="12.75">
      <c r="B43" s="532"/>
      <c r="C43" s="532"/>
      <c r="D43" s="532"/>
      <c r="E43" s="532"/>
    </row>
    <row r="44" spans="2:5" ht="12.75">
      <c r="B44" s="532"/>
      <c r="C44" s="532"/>
      <c r="D44" s="532"/>
      <c r="E44" s="532"/>
    </row>
    <row r="45" spans="2:5" ht="12.75">
      <c r="B45" s="532"/>
      <c r="C45" s="532"/>
      <c r="D45" s="532"/>
      <c r="E45" s="532"/>
    </row>
    <row r="46" spans="2:5" ht="12.75">
      <c r="B46" s="532"/>
      <c r="C46" s="532"/>
      <c r="D46" s="532"/>
      <c r="E46" s="532"/>
    </row>
    <row r="47" spans="2:5" ht="12.75">
      <c r="B47" s="532"/>
      <c r="C47" s="532"/>
      <c r="D47" s="532"/>
      <c r="E47" s="532"/>
    </row>
    <row r="48" spans="2:5" ht="12.75">
      <c r="B48" s="532"/>
      <c r="C48" s="532"/>
      <c r="D48" s="532"/>
      <c r="E48" s="532"/>
    </row>
    <row r="49" spans="2:5" ht="12.75">
      <c r="B49" s="532"/>
      <c r="C49" s="532"/>
      <c r="D49" s="532"/>
      <c r="E49" s="532"/>
    </row>
  </sheetData>
  <sheetProtection/>
  <hyperlinks>
    <hyperlink ref="G1" location="'Inserimento dati'!A1" display="InsDati"/>
    <hyperlink ref="G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C38" sqref="C38"/>
    </sheetView>
  </sheetViews>
  <sheetFormatPr defaultColWidth="9.140625" defaultRowHeight="12.75"/>
  <cols>
    <col min="1" max="1" width="39.421875" style="0" customWidth="1"/>
    <col min="2" max="4" width="15.7109375" style="0" customWidth="1"/>
  </cols>
  <sheetData>
    <row r="1" spans="1:7" ht="12.75">
      <c r="A1" s="3" t="s">
        <v>520</v>
      </c>
      <c r="B1" s="6"/>
      <c r="C1" s="6"/>
      <c r="D1" s="6"/>
      <c r="G1" s="555" t="s">
        <v>624</v>
      </c>
    </row>
    <row r="2" spans="1:7" ht="12.75">
      <c r="A2" s="3"/>
      <c r="B2" s="6"/>
      <c r="C2" s="6"/>
      <c r="G2" s="748" t="s">
        <v>777</v>
      </c>
    </row>
    <row r="3" spans="1:4" ht="12.75">
      <c r="A3" s="855" t="str">
        <f>"Tab. 4 - Comune di "&amp;Comune</f>
        <v>Tab. 4 - Comune di </v>
      </c>
      <c r="B3" s="12">
        <v>2011</v>
      </c>
      <c r="C3" s="12">
        <v>2012</v>
      </c>
      <c r="D3" s="12">
        <v>2013</v>
      </c>
    </row>
    <row r="4" spans="1:4" ht="17.25" customHeight="1">
      <c r="A4" s="146" t="s">
        <v>884</v>
      </c>
      <c r="B4" s="160">
        <f>+ET1C11</f>
        <v>0</v>
      </c>
      <c r="C4" s="160">
        <f>+ET1C12</f>
        <v>0</v>
      </c>
      <c r="D4" s="160">
        <f>+ET1C13</f>
        <v>0</v>
      </c>
    </row>
    <row r="5" spans="1:4" ht="17.25" customHeight="1">
      <c r="A5" s="156" t="s">
        <v>885</v>
      </c>
      <c r="B5" s="161">
        <f>+ST1C11</f>
        <v>0</v>
      </c>
      <c r="C5" s="161">
        <f>+ST1C12</f>
        <v>0</v>
      </c>
      <c r="D5" s="161">
        <f>+ST1C13</f>
        <v>0</v>
      </c>
    </row>
    <row r="6" spans="1:4" ht="3.75" customHeight="1">
      <c r="A6" s="157"/>
      <c r="B6" s="158"/>
      <c r="C6" s="158"/>
      <c r="D6" s="158"/>
    </row>
    <row r="7" spans="1:4" ht="24.75" customHeight="1">
      <c r="A7" s="31" t="s">
        <v>984</v>
      </c>
      <c r="B7" s="18">
        <f>B4-B5</f>
        <v>0</v>
      </c>
      <c r="C7" s="18">
        <f>C4-C5</f>
        <v>0</v>
      </c>
      <c r="D7" s="18">
        <f>D4-D5</f>
        <v>0</v>
      </c>
    </row>
    <row r="8" spans="1:4" ht="12.75">
      <c r="A8" s="6"/>
      <c r="B8" s="6"/>
      <c r="C8" s="6"/>
      <c r="D8" s="6"/>
    </row>
    <row r="9" spans="1:4" ht="12.75">
      <c r="A9" s="459" t="s">
        <v>523</v>
      </c>
      <c r="B9" s="461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3" t="s">
        <v>521</v>
      </c>
      <c r="B12" s="6"/>
      <c r="C12" s="6"/>
      <c r="D12" s="6"/>
    </row>
    <row r="13" spans="1:4" ht="5.25" customHeight="1">
      <c r="A13" s="3"/>
      <c r="B13" s="6"/>
      <c r="C13" s="6"/>
      <c r="D13" s="6"/>
    </row>
    <row r="14" spans="1:3" ht="12.75">
      <c r="A14" s="6"/>
      <c r="B14" s="855" t="str">
        <f>"Tab. 5 - Comune di "&amp;Comune</f>
        <v>Tab. 5 - Comune di </v>
      </c>
      <c r="C14" s="12">
        <v>2013</v>
      </c>
    </row>
    <row r="15" spans="1:3" ht="17.25" customHeight="1">
      <c r="A15" s="146" t="s">
        <v>182</v>
      </c>
      <c r="B15" s="155" t="s">
        <v>188</v>
      </c>
      <c r="C15" s="160">
        <v>0</v>
      </c>
    </row>
    <row r="16" spans="1:3" ht="17.25" customHeight="1">
      <c r="A16" s="156" t="s">
        <v>183</v>
      </c>
      <c r="B16" s="159" t="s">
        <v>190</v>
      </c>
      <c r="C16" s="161">
        <v>0</v>
      </c>
    </row>
    <row r="17" spans="1:3" ht="12.75">
      <c r="A17" s="77" t="s">
        <v>16</v>
      </c>
      <c r="B17" s="78" t="s">
        <v>191</v>
      </c>
      <c r="C17" s="162">
        <f>C15-C16</f>
        <v>0</v>
      </c>
    </row>
    <row r="18" spans="1:3" ht="3" customHeight="1">
      <c r="A18" s="157"/>
      <c r="B18" s="158"/>
      <c r="C18" s="163"/>
    </row>
    <row r="19" spans="1:3" ht="17.25" customHeight="1">
      <c r="A19" s="146" t="s">
        <v>192</v>
      </c>
      <c r="B19" s="155" t="s">
        <v>188</v>
      </c>
      <c r="C19" s="160">
        <v>0</v>
      </c>
    </row>
    <row r="20" spans="1:3" ht="17.25" customHeight="1">
      <c r="A20" s="156" t="s">
        <v>193</v>
      </c>
      <c r="B20" s="159" t="s">
        <v>190</v>
      </c>
      <c r="C20" s="161">
        <v>0</v>
      </c>
    </row>
    <row r="21" spans="1:3" ht="12.75">
      <c r="A21" s="77" t="s">
        <v>16</v>
      </c>
      <c r="B21" s="78" t="s">
        <v>194</v>
      </c>
      <c r="C21" s="162">
        <f>C19-C20</f>
        <v>0</v>
      </c>
    </row>
    <row r="22" spans="1:3" ht="3" customHeight="1">
      <c r="A22" s="157"/>
      <c r="B22" s="158"/>
      <c r="C22" s="163"/>
    </row>
    <row r="23" spans="1:3" ht="17.25" customHeight="1">
      <c r="A23" s="31" t="s">
        <v>984</v>
      </c>
      <c r="B23" s="80" t="s">
        <v>195</v>
      </c>
      <c r="C23" s="18">
        <f>C17+C21</f>
        <v>0</v>
      </c>
    </row>
    <row r="25" spans="2:3" ht="12.75">
      <c r="B25" s="869" t="s">
        <v>203</v>
      </c>
      <c r="C25" s="870">
        <f>+D7-C23</f>
        <v>0</v>
      </c>
    </row>
  </sheetData>
  <sheetProtection/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41.28125" style="67" customWidth="1"/>
    <col min="2" max="4" width="16.140625" style="67" customWidth="1"/>
    <col min="12" max="12" width="3.140625" style="0" customWidth="1"/>
    <col min="13" max="13" width="65.00390625" style="0" bestFit="1" customWidth="1"/>
    <col min="14" max="14" width="17.28125" style="0" customWidth="1"/>
  </cols>
  <sheetData>
    <row r="1" spans="1:7" ht="12.75">
      <c r="A1" s="3" t="s">
        <v>522</v>
      </c>
      <c r="F1" s="555" t="s">
        <v>624</v>
      </c>
      <c r="G1" s="748" t="s">
        <v>777</v>
      </c>
    </row>
    <row r="3" spans="1:11" ht="21" customHeight="1">
      <c r="A3" s="893" t="s">
        <v>133</v>
      </c>
      <c r="B3" s="894"/>
      <c r="C3" s="894"/>
      <c r="D3" s="890"/>
      <c r="F3" s="923" t="s">
        <v>523</v>
      </c>
      <c r="G3" s="924"/>
      <c r="H3" s="925"/>
      <c r="I3" s="926"/>
      <c r="J3" s="926"/>
      <c r="K3" s="927"/>
    </row>
    <row r="4" spans="1:5" ht="24">
      <c r="A4" s="1212" t="str">
        <f>"Tab. 4 - "&amp;Comune</f>
        <v>Tab. 4 - </v>
      </c>
      <c r="B4" s="1213" t="s">
        <v>1049</v>
      </c>
      <c r="C4" s="1214" t="s">
        <v>1115</v>
      </c>
      <c r="D4" s="1213" t="s">
        <v>1054</v>
      </c>
      <c r="E4" s="873"/>
    </row>
    <row r="5" spans="1:6" ht="12.75">
      <c r="A5" s="896" t="s">
        <v>8</v>
      </c>
      <c r="B5" s="892">
        <f>+ET1C12</f>
        <v>0</v>
      </c>
      <c r="C5" s="892">
        <f>+ET1C13</f>
        <v>0</v>
      </c>
      <c r="D5" s="892">
        <f>+ET1P14</f>
        <v>0</v>
      </c>
      <c r="F5" s="7" t="s">
        <v>1050</v>
      </c>
    </row>
    <row r="6" spans="1:14" ht="12.75">
      <c r="A6" s="897" t="s">
        <v>890</v>
      </c>
      <c r="B6" s="892"/>
      <c r="C6" s="892"/>
      <c r="D6" s="892"/>
      <c r="F6" s="993" t="s">
        <v>1051</v>
      </c>
      <c r="G6" s="994"/>
      <c r="H6" s="994"/>
      <c r="I6" s="994"/>
      <c r="J6" s="994"/>
      <c r="K6" s="995"/>
      <c r="M6" s="1120" t="s">
        <v>598</v>
      </c>
      <c r="N6" s="1120"/>
    </row>
    <row r="7" spans="1:14" ht="12.75">
      <c r="A7" s="896" t="s">
        <v>9</v>
      </c>
      <c r="B7" s="892">
        <f>+ET2C12</f>
        <v>0</v>
      </c>
      <c r="C7" s="892">
        <f>+ET2C13</f>
        <v>0</v>
      </c>
      <c r="D7" s="892">
        <f>+ET2P14</f>
        <v>0</v>
      </c>
      <c r="F7" s="996" t="s">
        <v>1052</v>
      </c>
      <c r="G7" s="997"/>
      <c r="H7" s="997"/>
      <c r="I7" s="997"/>
      <c r="J7" s="997"/>
      <c r="K7" s="998"/>
      <c r="N7" s="855" t="str">
        <f>"Tab. 6 - "&amp;Comune</f>
        <v>Tab. 6 - </v>
      </c>
    </row>
    <row r="8" spans="1:14" ht="12.75">
      <c r="A8" s="896" t="s">
        <v>10</v>
      </c>
      <c r="B8" s="892">
        <f>+ET3C12</f>
        <v>0</v>
      </c>
      <c r="C8" s="892">
        <f>+ET3C13</f>
        <v>0</v>
      </c>
      <c r="D8" s="892">
        <f>+ET3P14</f>
        <v>0</v>
      </c>
      <c r="F8" s="999" t="s">
        <v>1053</v>
      </c>
      <c r="G8" s="992"/>
      <c r="H8" s="992"/>
      <c r="I8" s="992"/>
      <c r="J8" s="992"/>
      <c r="K8" s="1000"/>
      <c r="M8" s="1001" t="s">
        <v>1113</v>
      </c>
      <c r="N8" s="534"/>
    </row>
    <row r="9" spans="1:14" ht="12.75">
      <c r="A9" s="889" t="s">
        <v>859</v>
      </c>
      <c r="B9" s="891">
        <f>+ECO12</f>
        <v>0</v>
      </c>
      <c r="C9" s="891">
        <f>+ECO13</f>
        <v>0</v>
      </c>
      <c r="D9" s="891">
        <f>+ECOP14</f>
        <v>0</v>
      </c>
      <c r="M9" s="1001" t="s">
        <v>1112</v>
      </c>
      <c r="N9" s="536"/>
    </row>
    <row r="10" spans="1:14" ht="12.75">
      <c r="A10" s="888" t="s">
        <v>860</v>
      </c>
      <c r="B10" s="898">
        <f>+ST1C12</f>
        <v>0</v>
      </c>
      <c r="C10" s="898">
        <f>+ST1C13</f>
        <v>0</v>
      </c>
      <c r="D10" s="898">
        <f>+ST1P14</f>
        <v>0</v>
      </c>
      <c r="M10" s="1098" t="s">
        <v>595</v>
      </c>
      <c r="N10" s="1099"/>
    </row>
    <row r="11" spans="1:14" ht="12.75">
      <c r="A11" s="888" t="s">
        <v>897</v>
      </c>
      <c r="B11" s="898">
        <f>+RP12</f>
        <v>0</v>
      </c>
      <c r="C11" s="898">
        <f>+RP13</f>
        <v>0</v>
      </c>
      <c r="D11" s="898">
        <f>+RPP14</f>
        <v>0</v>
      </c>
      <c r="M11" s="12" t="s">
        <v>626</v>
      </c>
      <c r="N11" s="538">
        <f>SUM(N6:N10)</f>
        <v>0</v>
      </c>
    </row>
    <row r="12" spans="1:4" ht="12.75">
      <c r="A12" s="889" t="s">
        <v>891</v>
      </c>
      <c r="B12" s="891">
        <f>+B9-B10-B11</f>
        <v>0</v>
      </c>
      <c r="C12" s="891">
        <f>+C9-C10-C11</f>
        <v>0</v>
      </c>
      <c r="D12" s="891">
        <f>+D9-D10-D11</f>
        <v>0</v>
      </c>
    </row>
    <row r="13" spans="1:14" ht="39">
      <c r="A13" s="889" t="s">
        <v>898</v>
      </c>
      <c r="B13" s="898">
        <f>+ASCO12</f>
        <v>0</v>
      </c>
      <c r="C13" s="898">
        <f>+ASCO13</f>
        <v>0</v>
      </c>
      <c r="D13" s="898">
        <f>+ASCOP14</f>
        <v>0</v>
      </c>
      <c r="M13" s="1002" t="s">
        <v>1058</v>
      </c>
      <c r="N13" s="703">
        <f>+N11-D22</f>
        <v>0</v>
      </c>
    </row>
    <row r="14" spans="1:4" ht="25.5">
      <c r="A14" s="889" t="s">
        <v>892</v>
      </c>
      <c r="B14" s="898">
        <f>SUM(B15:B17)</f>
        <v>0</v>
      </c>
      <c r="C14" s="898">
        <f>SUM(C15:C17)</f>
        <v>0</v>
      </c>
      <c r="D14" s="898">
        <f>SUM(D15:D17)</f>
        <v>0</v>
      </c>
    </row>
    <row r="15" spans="1:4" ht="12.75">
      <c r="A15" s="897" t="s">
        <v>893</v>
      </c>
      <c r="B15" s="892">
        <f>+PCT112</f>
        <v>0</v>
      </c>
      <c r="C15" s="892">
        <f>+PCT113</f>
        <v>0</v>
      </c>
      <c r="D15" s="892">
        <f>+PCT1P14</f>
        <v>0</v>
      </c>
    </row>
    <row r="16" spans="1:4" ht="12.75">
      <c r="A16" s="897" t="s">
        <v>894</v>
      </c>
      <c r="B16" s="892">
        <f>+PL12</f>
        <v>0</v>
      </c>
      <c r="C16" s="1097"/>
      <c r="D16" s="1097"/>
    </row>
    <row r="17" spans="1:10" ht="12.75">
      <c r="A17" s="896" t="s">
        <v>899</v>
      </c>
      <c r="B17" s="892"/>
      <c r="C17" s="892"/>
      <c r="D17" s="892"/>
      <c r="F17" s="702" t="s">
        <v>906</v>
      </c>
      <c r="G17" s="899"/>
      <c r="H17" s="899"/>
      <c r="I17" s="899"/>
      <c r="J17" s="899"/>
    </row>
    <row r="18" spans="1:4" ht="25.5">
      <c r="A18" s="889" t="s">
        <v>907</v>
      </c>
      <c r="B18" s="898">
        <f>SUM(B19:B20)</f>
        <v>0</v>
      </c>
      <c r="C18" s="898">
        <f>SUM(C19:C20)</f>
        <v>0</v>
      </c>
      <c r="D18" s="898">
        <f>SUM(D19:D20)</f>
        <v>0</v>
      </c>
    </row>
    <row r="19" spans="1:4" ht="12.75">
      <c r="A19" s="897" t="s">
        <v>908</v>
      </c>
      <c r="B19" s="892">
        <f>+CDSco12</f>
        <v>0</v>
      </c>
      <c r="C19" s="892">
        <f>+CDSco13</f>
        <v>0</v>
      </c>
      <c r="D19" s="892">
        <f>+CDScoP14</f>
        <v>0</v>
      </c>
    </row>
    <row r="20" spans="1:10" ht="12.75">
      <c r="A20" s="897" t="s">
        <v>899</v>
      </c>
      <c r="B20" s="892"/>
      <c r="C20" s="892"/>
      <c r="D20" s="892"/>
      <c r="F20" s="702" t="s">
        <v>906</v>
      </c>
      <c r="G20" s="899"/>
      <c r="H20" s="899"/>
      <c r="I20" s="899"/>
      <c r="J20" s="899"/>
    </row>
    <row r="21" spans="1:10" ht="25.5">
      <c r="A21" s="889" t="s">
        <v>895</v>
      </c>
      <c r="B21" s="898"/>
      <c r="C21" s="898"/>
      <c r="D21" s="898"/>
      <c r="F21" s="702" t="s">
        <v>906</v>
      </c>
      <c r="G21" s="899"/>
      <c r="H21" s="899"/>
      <c r="I21" s="899"/>
      <c r="J21" s="899"/>
    </row>
    <row r="22" spans="1:4" ht="25.5">
      <c r="A22" s="889" t="s">
        <v>896</v>
      </c>
      <c r="B22" s="891">
        <f>+B12+B13+B14-B18+B21</f>
        <v>0</v>
      </c>
      <c r="C22" s="891">
        <f>+C12+C13+C14-C18+C21</f>
        <v>0</v>
      </c>
      <c r="D22" s="891">
        <f>+D12+D13+D14-D18+D21</f>
        <v>0</v>
      </c>
    </row>
    <row r="23" spans="1:3" ht="12.75" customHeight="1">
      <c r="A23" s="752"/>
      <c r="B23" s="753"/>
      <c r="C23" s="753"/>
    </row>
    <row r="24" spans="1:2" ht="12.75">
      <c r="A24" s="68"/>
      <c r="B24" s="68"/>
    </row>
    <row r="25" spans="1:14" ht="12.75">
      <c r="A25" s="68"/>
      <c r="B25" s="68"/>
      <c r="C25" s="855"/>
      <c r="M25" s="1120" t="s">
        <v>599</v>
      </c>
      <c r="N25" s="1120"/>
    </row>
    <row r="26" spans="1:14" ht="21" customHeight="1">
      <c r="A26" s="893" t="s">
        <v>134</v>
      </c>
      <c r="B26" s="894"/>
      <c r="C26" s="894"/>
      <c r="D26" s="890"/>
      <c r="N26" s="855" t="str">
        <f>"Tab. 7 - "&amp;Comune</f>
        <v>Tab. 7 - </v>
      </c>
    </row>
    <row r="27" spans="1:14" ht="24">
      <c r="A27" s="1212" t="str">
        <f>"Tab. 5 - "&amp;Comune</f>
        <v>Tab. 5 - </v>
      </c>
      <c r="B27" s="1213" t="s">
        <v>1049</v>
      </c>
      <c r="C27" s="1214" t="s">
        <v>1115</v>
      </c>
      <c r="D27" s="1213" t="s">
        <v>1054</v>
      </c>
      <c r="M27" s="1003" t="s">
        <v>596</v>
      </c>
      <c r="N27" s="534"/>
    </row>
    <row r="28" spans="1:14" ht="12.75">
      <c r="A28" s="902" t="s">
        <v>135</v>
      </c>
      <c r="B28" s="898">
        <f>+ET4C12</f>
        <v>0</v>
      </c>
      <c r="C28" s="898">
        <f>+ET4C13</f>
        <v>0</v>
      </c>
      <c r="D28" s="898">
        <f>+ET4P14</f>
        <v>0</v>
      </c>
      <c r="M28" s="1001" t="s">
        <v>630</v>
      </c>
      <c r="N28" s="536"/>
    </row>
    <row r="29" spans="1:14" ht="12.75">
      <c r="A29" s="902" t="s">
        <v>168</v>
      </c>
      <c r="B29" s="898">
        <f>+ET5C12</f>
        <v>0</v>
      </c>
      <c r="C29" s="898">
        <f>+ET5C13</f>
        <v>0</v>
      </c>
      <c r="D29" s="898">
        <f>+ET5P14</f>
        <v>0</v>
      </c>
      <c r="F29" s="702" t="s">
        <v>904</v>
      </c>
      <c r="G29" s="899"/>
      <c r="H29" s="899"/>
      <c r="I29" s="899"/>
      <c r="J29" s="899"/>
      <c r="K29" s="899"/>
      <c r="L29" s="899"/>
      <c r="M29" s="1001" t="s">
        <v>629</v>
      </c>
      <c r="N29" s="536"/>
    </row>
    <row r="30" spans="1:14" ht="12.75">
      <c r="A30" s="903" t="s">
        <v>900</v>
      </c>
      <c r="B30" s="891">
        <f>SUM(B28:B29)</f>
        <v>0</v>
      </c>
      <c r="C30" s="891">
        <f>SUM(C28:C29)</f>
        <v>0</v>
      </c>
      <c r="D30" s="891">
        <f>SUM(D28:D29)</f>
        <v>0</v>
      </c>
      <c r="F30" s="7" t="s">
        <v>1050</v>
      </c>
      <c r="M30" s="1001" t="s">
        <v>778</v>
      </c>
      <c r="N30" s="536"/>
    </row>
    <row r="31" spans="1:14" ht="12.75">
      <c r="A31" s="902" t="s">
        <v>901</v>
      </c>
      <c r="B31" s="898">
        <f>+ST2C12</f>
        <v>0</v>
      </c>
      <c r="C31" s="898">
        <f>+ST2C13</f>
        <v>0</v>
      </c>
      <c r="D31" s="898">
        <f>+ST2P14</f>
        <v>0</v>
      </c>
      <c r="F31" s="993" t="s">
        <v>1051</v>
      </c>
      <c r="G31" s="994"/>
      <c r="H31" s="994"/>
      <c r="I31" s="994"/>
      <c r="J31" s="994"/>
      <c r="K31" s="995"/>
      <c r="M31" s="1001" t="s">
        <v>779</v>
      </c>
      <c r="N31" s="536"/>
    </row>
    <row r="32" spans="1:14" ht="12.75">
      <c r="A32" s="903" t="s">
        <v>902</v>
      </c>
      <c r="B32" s="891">
        <f>+B30-B31</f>
        <v>0</v>
      </c>
      <c r="C32" s="891">
        <f>+C30-C31</f>
        <v>0</v>
      </c>
      <c r="D32" s="891">
        <f>+D30-D31</f>
        <v>0</v>
      </c>
      <c r="F32" s="996" t="s">
        <v>1052</v>
      </c>
      <c r="G32" s="997"/>
      <c r="H32" s="997"/>
      <c r="I32" s="997"/>
      <c r="J32" s="997"/>
      <c r="K32" s="998"/>
      <c r="M32" s="1001" t="s">
        <v>628</v>
      </c>
      <c r="N32" s="536"/>
    </row>
    <row r="33" spans="1:14" ht="12.75">
      <c r="A33" s="902" t="s">
        <v>910</v>
      </c>
      <c r="B33" s="900">
        <f>+B14</f>
        <v>0</v>
      </c>
      <c r="C33" s="900">
        <f>+C14</f>
        <v>0</v>
      </c>
      <c r="D33" s="900">
        <f>+D14</f>
        <v>0</v>
      </c>
      <c r="F33" s="999" t="s">
        <v>1053</v>
      </c>
      <c r="G33" s="992"/>
      <c r="H33" s="992"/>
      <c r="I33" s="992"/>
      <c r="J33" s="992"/>
      <c r="K33" s="1000"/>
      <c r="M33" s="1001" t="s">
        <v>627</v>
      </c>
      <c r="N33" s="537"/>
    </row>
    <row r="34" spans="1:14" ht="25.5">
      <c r="A34" s="902" t="s">
        <v>903</v>
      </c>
      <c r="B34" s="898">
        <f>+B18</f>
        <v>0</v>
      </c>
      <c r="C34" s="898">
        <f>+C18</f>
        <v>0</v>
      </c>
      <c r="D34" s="898">
        <f>+D18</f>
        <v>0</v>
      </c>
      <c r="M34" s="12" t="s">
        <v>597</v>
      </c>
      <c r="N34" s="538">
        <f>SUM(N27:N33)</f>
        <v>0</v>
      </c>
    </row>
    <row r="35" spans="1:4" ht="25.5">
      <c r="A35" s="888" t="s">
        <v>895</v>
      </c>
      <c r="B35" s="898">
        <f>+B21</f>
        <v>0</v>
      </c>
      <c r="C35" s="898">
        <f>+C21</f>
        <v>0</v>
      </c>
      <c r="D35" s="898">
        <f>+D21</f>
        <v>0</v>
      </c>
    </row>
    <row r="36" spans="1:14" ht="26.25">
      <c r="A36" s="902" t="s">
        <v>909</v>
      </c>
      <c r="B36" s="898">
        <f>+ASCA12</f>
        <v>0</v>
      </c>
      <c r="C36" s="898">
        <f>+ASCA13</f>
        <v>0</v>
      </c>
      <c r="D36" s="898">
        <f>+ASCAP14</f>
        <v>0</v>
      </c>
      <c r="M36" s="1002" t="s">
        <v>1058</v>
      </c>
      <c r="N36" s="703">
        <f>+N34-D22</f>
        <v>0</v>
      </c>
    </row>
    <row r="37" spans="1:4" ht="25.5">
      <c r="A37" s="903" t="s">
        <v>911</v>
      </c>
      <c r="B37" s="901">
        <f>+B32-B33+B34-B35+B36</f>
        <v>0</v>
      </c>
      <c r="C37" s="901">
        <f>+C32-C33+C34-C35+C36</f>
        <v>0</v>
      </c>
      <c r="D37" s="901">
        <f>+D32-D33+D34-D35+D36</f>
        <v>0</v>
      </c>
    </row>
    <row r="39" spans="2:3" ht="12.75">
      <c r="B39" s="36"/>
      <c r="C39" s="36"/>
    </row>
    <row r="41" spans="4:14" ht="12.75">
      <c r="D41"/>
      <c r="M41" s="1120" t="s">
        <v>770</v>
      </c>
      <c r="N41" s="1120"/>
    </row>
    <row r="42" spans="1:14" ht="12.75">
      <c r="A42" s="1121" t="s">
        <v>776</v>
      </c>
      <c r="B42" s="1122"/>
      <c r="C42" s="1123"/>
      <c r="D42"/>
      <c r="N42" s="855" t="str">
        <f>"Tab. 14 - "&amp;Comune</f>
        <v>Tab. 14 - </v>
      </c>
    </row>
    <row r="43" spans="1:14" ht="12.75">
      <c r="A43" s="855" t="str">
        <f>"Tab. 12 - "&amp;Comune</f>
        <v>Tab. 12 - </v>
      </c>
      <c r="B43" s="895" t="s">
        <v>1056</v>
      </c>
      <c r="C43" s="895" t="s">
        <v>1057</v>
      </c>
      <c r="D43"/>
      <c r="M43" s="1003" t="s">
        <v>625</v>
      </c>
      <c r="N43" s="534"/>
    </row>
    <row r="44" spans="1:14" ht="12.75">
      <c r="A44" s="896" t="s">
        <v>8</v>
      </c>
      <c r="B44" s="892">
        <f>+ET1P15</f>
        <v>0</v>
      </c>
      <c r="C44" s="892">
        <f>+ET1P16</f>
        <v>0</v>
      </c>
      <c r="D44"/>
      <c r="M44" s="1001" t="s">
        <v>595</v>
      </c>
      <c r="N44" s="536"/>
    </row>
    <row r="45" spans="1:14" ht="12.75">
      <c r="A45" s="897" t="s">
        <v>890</v>
      </c>
      <c r="B45" s="892"/>
      <c r="C45" s="892"/>
      <c r="D45"/>
      <c r="M45" s="12" t="s">
        <v>626</v>
      </c>
      <c r="N45" s="538">
        <f>SUM(N43:N44)</f>
        <v>0</v>
      </c>
    </row>
    <row r="46" spans="1:4" ht="12.75">
      <c r="A46" s="896" t="s">
        <v>9</v>
      </c>
      <c r="B46" s="892">
        <f>+ET2P15</f>
        <v>0</v>
      </c>
      <c r="C46" s="892">
        <f>+ET2P16</f>
        <v>0</v>
      </c>
      <c r="D46"/>
    </row>
    <row r="47" spans="1:14" ht="15.75">
      <c r="A47" s="896" t="s">
        <v>10</v>
      </c>
      <c r="B47" s="892">
        <f>+ET3P15</f>
        <v>0</v>
      </c>
      <c r="C47" s="892">
        <f>+ET3P16</f>
        <v>0</v>
      </c>
      <c r="D47"/>
      <c r="M47" s="1002" t="s">
        <v>1058</v>
      </c>
      <c r="N47" s="703">
        <f>+N45-B61</f>
        <v>0</v>
      </c>
    </row>
    <row r="48" spans="1:4" ht="12.75">
      <c r="A48" s="889" t="s">
        <v>859</v>
      </c>
      <c r="B48" s="891">
        <f>+ECOP15</f>
        <v>0</v>
      </c>
      <c r="C48" s="891">
        <f>+ECOP16</f>
        <v>0</v>
      </c>
      <c r="D48"/>
    </row>
    <row r="49" spans="1:4" ht="12.75">
      <c r="A49" s="888" t="s">
        <v>860</v>
      </c>
      <c r="B49" s="898">
        <f>+ST1P15</f>
        <v>0</v>
      </c>
      <c r="C49" s="898">
        <f>+ST1P16</f>
        <v>0</v>
      </c>
      <c r="D49"/>
    </row>
    <row r="50" spans="1:4" ht="12.75">
      <c r="A50" s="888" t="s">
        <v>897</v>
      </c>
      <c r="B50" s="898">
        <f>+RPP15</f>
        <v>0</v>
      </c>
      <c r="C50" s="898">
        <f>+RPP16</f>
        <v>0</v>
      </c>
      <c r="D50"/>
    </row>
    <row r="51" spans="1:4" ht="12.75">
      <c r="A51" s="889" t="s">
        <v>891</v>
      </c>
      <c r="B51" s="891">
        <f>+B48-B49-B50</f>
        <v>0</v>
      </c>
      <c r="C51" s="891">
        <f>+C48-C49-C50</f>
        <v>0</v>
      </c>
      <c r="D51"/>
    </row>
    <row r="52" spans="1:4" ht="38.25">
      <c r="A52" s="889" t="s">
        <v>898</v>
      </c>
      <c r="B52" s="898">
        <f>+ASCOP15</f>
        <v>0</v>
      </c>
      <c r="C52" s="898">
        <f>+ASCOP16</f>
        <v>0</v>
      </c>
      <c r="D52"/>
    </row>
    <row r="53" spans="1:4" ht="25.5">
      <c r="A53" s="889" t="s">
        <v>892</v>
      </c>
      <c r="B53" s="898">
        <f>SUM(B54:B56)</f>
        <v>0</v>
      </c>
      <c r="C53" s="898">
        <f>SUM(C54:C56)</f>
        <v>0</v>
      </c>
      <c r="D53"/>
    </row>
    <row r="54" spans="1:3" ht="12.75">
      <c r="A54" s="897" t="s">
        <v>899</v>
      </c>
      <c r="B54" s="892"/>
      <c r="C54" s="892"/>
    </row>
    <row r="55" spans="1:3" ht="12.75">
      <c r="A55" s="897" t="s">
        <v>899</v>
      </c>
      <c r="B55" s="892"/>
      <c r="C55" s="892"/>
    </row>
    <row r="56" spans="1:3" ht="12.75">
      <c r="A56" s="896" t="s">
        <v>899</v>
      </c>
      <c r="B56" s="892"/>
      <c r="C56" s="892"/>
    </row>
    <row r="57" spans="1:3" ht="25.5">
      <c r="A57" s="889" t="s">
        <v>907</v>
      </c>
      <c r="B57" s="898">
        <f>SUM(B58:B59)</f>
        <v>0</v>
      </c>
      <c r="C57" s="898">
        <f>SUM(C58:C59)</f>
        <v>0</v>
      </c>
    </row>
    <row r="58" spans="1:3" ht="12.75">
      <c r="A58" s="897" t="s">
        <v>908</v>
      </c>
      <c r="B58" s="892">
        <f>+CDScoP15</f>
        <v>0</v>
      </c>
      <c r="C58" s="892">
        <f>+CDScoP16</f>
        <v>0</v>
      </c>
    </row>
    <row r="59" spans="1:3" ht="12.75">
      <c r="A59" s="897" t="s">
        <v>899</v>
      </c>
      <c r="B59" s="892"/>
      <c r="C59" s="892"/>
    </row>
    <row r="60" spans="1:3" ht="25.5">
      <c r="A60" s="889" t="s">
        <v>895</v>
      </c>
      <c r="B60" s="898"/>
      <c r="C60" s="898"/>
    </row>
    <row r="61" spans="1:3" ht="25.5">
      <c r="A61" s="889" t="s">
        <v>896</v>
      </c>
      <c r="B61" s="891">
        <f>+B51+B52+B53-B57+B60</f>
        <v>0</v>
      </c>
      <c r="C61" s="891">
        <f>+C51+C52+C53-C57+C60</f>
        <v>0</v>
      </c>
    </row>
    <row r="62" spans="1:14" ht="12.75">
      <c r="A62" s="577"/>
      <c r="B62" s="577"/>
      <c r="C62" s="577"/>
      <c r="D62" s="529"/>
      <c r="M62" s="1120" t="s">
        <v>771</v>
      </c>
      <c r="N62" s="1120"/>
    </row>
    <row r="63" spans="1:14" ht="12.75">
      <c r="A63" s="1121" t="s">
        <v>1055</v>
      </c>
      <c r="B63" s="1122"/>
      <c r="C63" s="1123"/>
      <c r="N63" s="855" t="str">
        <f>"Tab. 15 - "&amp;Comune</f>
        <v>Tab. 15 - </v>
      </c>
    </row>
    <row r="64" spans="1:14" ht="12.75">
      <c r="A64" s="855" t="str">
        <f>"Tab. 13 - "&amp;Comune</f>
        <v>Tab. 13 - </v>
      </c>
      <c r="B64" s="895" t="s">
        <v>1056</v>
      </c>
      <c r="C64" s="895" t="s">
        <v>1057</v>
      </c>
      <c r="D64" s="530"/>
      <c r="M64" s="1003" t="s">
        <v>596</v>
      </c>
      <c r="N64" s="534"/>
    </row>
    <row r="65" spans="1:14" ht="12.75">
      <c r="A65" s="902" t="s">
        <v>135</v>
      </c>
      <c r="B65" s="898">
        <f>+ET4P15</f>
        <v>0</v>
      </c>
      <c r="C65" s="898">
        <f>+ET4P16</f>
        <v>0</v>
      </c>
      <c r="M65" s="1001" t="s">
        <v>630</v>
      </c>
      <c r="N65" s="536"/>
    </row>
    <row r="66" spans="1:14" ht="12.75">
      <c r="A66" s="902" t="s">
        <v>168</v>
      </c>
      <c r="B66" s="898">
        <f>+ET5P15</f>
        <v>0</v>
      </c>
      <c r="C66" s="898">
        <f>+ET5P16</f>
        <v>0</v>
      </c>
      <c r="M66" s="1001" t="s">
        <v>629</v>
      </c>
      <c r="N66" s="536"/>
    </row>
    <row r="67" spans="1:14" ht="12.75">
      <c r="A67" s="903" t="s">
        <v>900</v>
      </c>
      <c r="B67" s="891">
        <f>SUM(B65:B66)</f>
        <v>0</v>
      </c>
      <c r="C67" s="891">
        <f>SUM(C65:C66)</f>
        <v>0</v>
      </c>
      <c r="M67" s="1001" t="s">
        <v>778</v>
      </c>
      <c r="N67" s="536"/>
    </row>
    <row r="68" spans="1:14" ht="12.75">
      <c r="A68" s="902" t="s">
        <v>901</v>
      </c>
      <c r="B68" s="898">
        <f>+ST2P15</f>
        <v>0</v>
      </c>
      <c r="C68" s="898">
        <f>+ST2P16</f>
        <v>0</v>
      </c>
      <c r="M68" s="1001" t="s">
        <v>779</v>
      </c>
      <c r="N68" s="536"/>
    </row>
    <row r="69" spans="1:14" ht="12.75">
      <c r="A69" s="903" t="s">
        <v>902</v>
      </c>
      <c r="B69" s="891">
        <f>+B67-B68</f>
        <v>0</v>
      </c>
      <c r="C69" s="891">
        <f>+C67-C68</f>
        <v>0</v>
      </c>
      <c r="M69" s="1001" t="s">
        <v>628</v>
      </c>
      <c r="N69" s="536"/>
    </row>
    <row r="70" spans="1:14" ht="12.75">
      <c r="A70" s="902" t="s">
        <v>910</v>
      </c>
      <c r="B70" s="900">
        <f>+B51</f>
        <v>0</v>
      </c>
      <c r="C70" s="900">
        <f>+C51</f>
        <v>0</v>
      </c>
      <c r="M70" s="1001" t="s">
        <v>627</v>
      </c>
      <c r="N70" s="537"/>
    </row>
    <row r="71" spans="1:14" ht="25.5">
      <c r="A71" s="902" t="s">
        <v>903</v>
      </c>
      <c r="B71" s="898">
        <f>+B55</f>
        <v>0</v>
      </c>
      <c r="C71" s="898">
        <f>+C55</f>
        <v>0</v>
      </c>
      <c r="M71" s="12" t="s">
        <v>597</v>
      </c>
      <c r="N71" s="538">
        <f>SUM(N64:N70)</f>
        <v>0</v>
      </c>
    </row>
    <row r="72" spans="1:3" ht="25.5">
      <c r="A72" s="888" t="s">
        <v>895</v>
      </c>
      <c r="B72" s="898">
        <f>+B58</f>
        <v>0</v>
      </c>
      <c r="C72" s="898">
        <f>+C58</f>
        <v>0</v>
      </c>
    </row>
    <row r="73" spans="1:14" ht="26.25">
      <c r="A73" s="902" t="s">
        <v>909</v>
      </c>
      <c r="B73" s="898">
        <f>+ASCA12</f>
        <v>0</v>
      </c>
      <c r="C73" s="898">
        <f>+ASCA13</f>
        <v>0</v>
      </c>
      <c r="M73" s="1002" t="s">
        <v>1058</v>
      </c>
      <c r="N73" s="703">
        <f>+N71-B74</f>
        <v>0</v>
      </c>
    </row>
    <row r="74" spans="1:3" ht="25.5">
      <c r="A74" s="903" t="s">
        <v>911</v>
      </c>
      <c r="B74" s="901">
        <f>+B69-B70+B71-B72+B73</f>
        <v>0</v>
      </c>
      <c r="C74" s="901">
        <f>+C69-C70+C71-C72+C73</f>
        <v>0</v>
      </c>
    </row>
    <row r="78" spans="13:14" ht="12.75">
      <c r="M78" s="1120" t="s">
        <v>1062</v>
      </c>
      <c r="N78" s="1120"/>
    </row>
    <row r="79" ht="12.75">
      <c r="N79" s="855" t="str">
        <f>"Tab. 16 - "&amp;Comune</f>
        <v>Tab. 16 - </v>
      </c>
    </row>
    <row r="80" spans="13:14" ht="12.75">
      <c r="M80" s="1003" t="s">
        <v>625</v>
      </c>
      <c r="N80" s="534"/>
    </row>
    <row r="81" spans="13:14" ht="12.75">
      <c r="M81" s="1001" t="s">
        <v>595</v>
      </c>
      <c r="N81" s="536"/>
    </row>
    <row r="82" spans="13:14" ht="12.75">
      <c r="M82" s="12" t="s">
        <v>626</v>
      </c>
      <c r="N82" s="538">
        <f>SUM(N80:N81)</f>
        <v>0</v>
      </c>
    </row>
    <row r="84" spans="13:14" ht="15.75">
      <c r="M84" s="1002" t="s">
        <v>1058</v>
      </c>
      <c r="N84" s="703">
        <f>+N82-C61</f>
        <v>0</v>
      </c>
    </row>
    <row r="87" spans="13:14" ht="12.75">
      <c r="M87" s="1004" t="s">
        <v>1063</v>
      </c>
      <c r="N87" s="1004"/>
    </row>
    <row r="88" ht="12.75">
      <c r="N88" s="855" t="str">
        <f>"Tab. 17 - "&amp;Comune</f>
        <v>Tab. 17 - </v>
      </c>
    </row>
    <row r="89" spans="13:14" ht="12.75">
      <c r="M89" s="1003" t="s">
        <v>596</v>
      </c>
      <c r="N89" s="534"/>
    </row>
    <row r="90" spans="13:14" ht="12.75">
      <c r="M90" s="1001" t="s">
        <v>630</v>
      </c>
      <c r="N90" s="536"/>
    </row>
    <row r="91" spans="13:14" ht="12.75">
      <c r="M91" s="1001" t="s">
        <v>629</v>
      </c>
      <c r="N91" s="536"/>
    </row>
    <row r="92" spans="13:14" ht="12.75">
      <c r="M92" s="1001" t="s">
        <v>778</v>
      </c>
      <c r="N92" s="536"/>
    </row>
    <row r="93" spans="13:14" ht="12.75">
      <c r="M93" s="1001" t="s">
        <v>779</v>
      </c>
      <c r="N93" s="536"/>
    </row>
    <row r="94" spans="13:14" ht="12.75">
      <c r="M94" s="1001" t="s">
        <v>628</v>
      </c>
      <c r="N94" s="536"/>
    </row>
    <row r="95" spans="13:14" ht="12.75">
      <c r="M95" s="1001" t="s">
        <v>627</v>
      </c>
      <c r="N95" s="537"/>
    </row>
    <row r="96" spans="13:14" ht="12.75">
      <c r="M96" s="12" t="s">
        <v>597</v>
      </c>
      <c r="N96" s="538">
        <f>SUM(N89:N95)</f>
        <v>0</v>
      </c>
    </row>
    <row r="98" spans="13:14" ht="15.75">
      <c r="M98" s="1002" t="s">
        <v>1058</v>
      </c>
      <c r="N98" s="703">
        <f>+N96-C74</f>
        <v>0</v>
      </c>
    </row>
  </sheetData>
  <sheetProtection/>
  <mergeCells count="7">
    <mergeCell ref="M78:N78"/>
    <mergeCell ref="A42:C42"/>
    <mergeCell ref="A63:C63"/>
    <mergeCell ref="M25:N25"/>
    <mergeCell ref="M6:N6"/>
    <mergeCell ref="M41:N41"/>
    <mergeCell ref="M62:N62"/>
  </mergeCells>
  <hyperlinks>
    <hyperlink ref="F1" location="'Inserimento dati'!A1" display="InsDati"/>
    <hyperlink ref="G1" location="'Vai A'!A1" display="Vai a …"/>
    <hyperlink ref="M9" r:id="rId1" display="http://www.normattiva.it/uri-res/N2Ls?urn:nir:stato:decreto-%20%20%20%20%20%20%20%20%20%20%20%20legge:2007;159~art11!vig="/>
    <hyperlink ref="M27" r:id="rId2" display=" - imposta di scopo (comma 145-151 art.1 L. 296/2006)"/>
    <hyperlink ref="M28" r:id="rId3" display=" - sanzioni amministrative per violazione codice della strada (art. 208 d.lgs. 285/1992)"/>
    <hyperlink ref="M29" r:id="rId4" display=" - sanzioni amministrative imposta pubblicità e diritti pubb.affissioni (art. 24 d.lgs.507/1993)"/>
    <hyperlink ref="M33" r:id="rId5" display=" - proventi di parcheggi a pagamento (art.7, comma 7 del d.lgs.285/1992)."/>
    <hyperlink ref="M30" r:id="rId6" display=" - contributo utilizzo risorse geotermiche e produzione energia (art.16 D.Lgs. 22/2010)"/>
    <hyperlink ref="M31" r:id="rId7" display=" - imposta pubblicità ascensori di servizi pubblici (art. 3 legge 235/1993)"/>
    <hyperlink ref="M43" r:id="rId8" display="http://www.normattiva.it/uri-res/N2Ls?urn:nir:stato:decreto-%20%20%20%20%20%20%20%20%20%20%20%20legge:2007;159~art11!vig="/>
    <hyperlink ref="M64" r:id="rId9" display=" - imposta di scopo (comma 145-151 art.1 L. 296/2006)"/>
    <hyperlink ref="M65" r:id="rId10" display=" - sanzioni amministrative per violazione codice della strada (art. 208 d.lgs. 285/1992)"/>
    <hyperlink ref="M66" r:id="rId11" display=" - sanzioni amministrative imposta pubblicità e diritti pubb.affissioni (art. 24 d.lgs.507/1993)"/>
    <hyperlink ref="M70" r:id="rId12" display=" - proventi di parcheggi a pagamento (art.7, comma 7 del d.lgs.285/1992)."/>
    <hyperlink ref="M67" r:id="rId13" display=" - contributo utilizzo risorse geotermiche e produzione energia (art.16 D.Lgs. 22/2010)"/>
    <hyperlink ref="M68" r:id="rId14" display=" - imposta pubblicità ascensori di servizi pubblici (art. 3 legge 235/1993)"/>
    <hyperlink ref="M80" r:id="rId15" display="http://www.normattiva.it/uri-res/N2Ls?urn:nir:stato:decreto-%20%20%20%20%20%20%20%20%20%20%20%20legge:2007;159~art11!vig="/>
    <hyperlink ref="M89" r:id="rId16" display=" - imposta di scopo (comma 145-151 art.1 L. 296/2006)"/>
    <hyperlink ref="M90" r:id="rId17" display=" - sanzioni amministrative per violazione codice della strada (art. 208 d.lgs. 285/1992)"/>
    <hyperlink ref="M91" r:id="rId18" display=" - sanzioni amministrative imposta pubblicità e diritti pubb.affissioni (art. 24 d.lgs.507/1993)"/>
    <hyperlink ref="M95" r:id="rId19" display=" - proventi di parcheggi a pagamento (art.7, comma 7 del d.lgs.285/1992)."/>
    <hyperlink ref="M92" r:id="rId20" display=" - contributo utilizzo risorse geotermiche e produzione energia (art.16 D.Lgs. 22/2010)"/>
    <hyperlink ref="M93" r:id="rId21" display=" - imposta pubblicità ascensori di servizi pubblici (art. 3 legge 235/1993)"/>
  </hyperlinks>
  <printOptions/>
  <pageMargins left="0.7" right="0.7" top="0.75" bottom="0.75" header="0.3" footer="0.3"/>
  <pageSetup horizontalDpi="600" verticalDpi="600" orientation="portrait" paperSize="9" r:id="rId23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50.57421875" style="0" customWidth="1"/>
    <col min="2" max="3" width="16.7109375" style="0" customWidth="1"/>
    <col min="4" max="4" width="4.140625" style="0" customWidth="1"/>
    <col min="5" max="5" width="60.28125" style="0" bestFit="1" customWidth="1"/>
    <col min="6" max="6" width="15.57421875" style="0" customWidth="1"/>
  </cols>
  <sheetData>
    <row r="1" spans="1:8" ht="12.75">
      <c r="A1" s="3" t="s">
        <v>787</v>
      </c>
      <c r="E1" s="3" t="s">
        <v>912</v>
      </c>
      <c r="H1" s="555" t="s">
        <v>624</v>
      </c>
    </row>
    <row r="2" ht="12.75">
      <c r="H2" s="748" t="s">
        <v>777</v>
      </c>
    </row>
    <row r="3" spans="1:6" ht="15" customHeight="1" thickBot="1">
      <c r="A3" s="855" t="str">
        <f>"Tab. 8 - "&amp;Comune</f>
        <v>Tab. 8 - </v>
      </c>
      <c r="B3" s="562" t="s">
        <v>1</v>
      </c>
      <c r="C3" s="562" t="s">
        <v>2</v>
      </c>
      <c r="D3" s="6"/>
      <c r="F3" s="855" t="str">
        <f>"Tab. 9 - "&amp;Comune</f>
        <v>Tab. 9 - </v>
      </c>
    </row>
    <row r="4" spans="1:6" ht="15" customHeight="1">
      <c r="A4" s="4" t="s">
        <v>11</v>
      </c>
      <c r="B4" s="754"/>
      <c r="C4" s="755"/>
      <c r="D4" s="6"/>
      <c r="E4" s="931" t="s">
        <v>985</v>
      </c>
      <c r="F4" s="932"/>
    </row>
    <row r="5" spans="1:6" ht="15" customHeight="1">
      <c r="A5" s="4" t="s">
        <v>12</v>
      </c>
      <c r="B5" s="756"/>
      <c r="C5" s="757"/>
      <c r="D5" s="6"/>
      <c r="E5" s="1" t="s">
        <v>913</v>
      </c>
      <c r="F5" s="12" t="s">
        <v>187</v>
      </c>
    </row>
    <row r="6" spans="1:6" ht="15" customHeight="1">
      <c r="A6" s="4" t="s">
        <v>140</v>
      </c>
      <c r="B6" s="756"/>
      <c r="C6" s="757"/>
      <c r="D6" s="6"/>
      <c r="E6" s="2" t="s">
        <v>914</v>
      </c>
      <c r="F6" s="28">
        <f>+PCP14</f>
        <v>0</v>
      </c>
    </row>
    <row r="7" spans="1:6" ht="15" customHeight="1">
      <c r="A7" s="4" t="s">
        <v>13</v>
      </c>
      <c r="B7" s="756"/>
      <c r="C7" s="757"/>
      <c r="D7" s="6"/>
      <c r="E7" s="2" t="s">
        <v>915</v>
      </c>
      <c r="F7" s="28"/>
    </row>
    <row r="8" spans="1:6" ht="15" customHeight="1">
      <c r="A8" s="4" t="s">
        <v>136</v>
      </c>
      <c r="B8" s="756"/>
      <c r="C8" s="757"/>
      <c r="D8" s="6"/>
      <c r="E8" s="2" t="s">
        <v>916</v>
      </c>
      <c r="F8" s="28"/>
    </row>
    <row r="9" spans="1:6" ht="15" customHeight="1">
      <c r="A9" s="4" t="s">
        <v>781</v>
      </c>
      <c r="B9" s="756"/>
      <c r="C9" s="757"/>
      <c r="D9" s="6"/>
      <c r="E9" s="2" t="s">
        <v>917</v>
      </c>
      <c r="F9" s="28"/>
    </row>
    <row r="10" spans="1:6" ht="15" customHeight="1">
      <c r="A10" s="4" t="s">
        <v>782</v>
      </c>
      <c r="B10" s="756"/>
      <c r="C10" s="757"/>
      <c r="D10" s="6"/>
      <c r="E10" s="2" t="s">
        <v>918</v>
      </c>
      <c r="F10" s="28"/>
    </row>
    <row r="11" spans="1:6" ht="15" customHeight="1">
      <c r="A11" s="4" t="s">
        <v>14</v>
      </c>
      <c r="B11" s="756"/>
      <c r="C11" s="757"/>
      <c r="D11" s="6"/>
      <c r="E11" s="2" t="s">
        <v>919</v>
      </c>
      <c r="F11" s="28">
        <f>+CDSP14</f>
        <v>0</v>
      </c>
    </row>
    <row r="12" spans="1:6" ht="15" customHeight="1">
      <c r="A12" s="4" t="s">
        <v>137</v>
      </c>
      <c r="B12" s="756"/>
      <c r="C12" s="757"/>
      <c r="D12" s="6"/>
      <c r="E12" s="2" t="s">
        <v>454</v>
      </c>
      <c r="F12" s="28">
        <f>+PLP14</f>
        <v>0</v>
      </c>
    </row>
    <row r="13" spans="1:6" ht="15" customHeight="1">
      <c r="A13" s="4" t="s">
        <v>138</v>
      </c>
      <c r="B13" s="756"/>
      <c r="C13" s="757"/>
      <c r="D13" s="6"/>
      <c r="E13" s="11" t="s">
        <v>552</v>
      </c>
      <c r="F13" s="28"/>
    </row>
    <row r="14" spans="1:6" ht="15" customHeight="1">
      <c r="A14" s="4" t="s">
        <v>139</v>
      </c>
      <c r="B14" s="756"/>
      <c r="C14" s="757"/>
      <c r="D14" s="6"/>
      <c r="E14" s="933" t="s">
        <v>105</v>
      </c>
      <c r="F14" s="29">
        <f>SUM(F6:F13)</f>
        <v>0</v>
      </c>
    </row>
    <row r="15" spans="1:6" ht="15" customHeight="1">
      <c r="A15" s="4" t="s">
        <v>783</v>
      </c>
      <c r="B15" s="756"/>
      <c r="C15" s="1005" t="s">
        <v>1059</v>
      </c>
      <c r="D15" s="6"/>
      <c r="E15" s="931" t="s">
        <v>920</v>
      </c>
      <c r="F15" s="932"/>
    </row>
    <row r="16" spans="1:6" ht="15" customHeight="1">
      <c r="A16" s="4" t="s">
        <v>784</v>
      </c>
      <c r="B16" s="756"/>
      <c r="C16" s="757"/>
      <c r="D16" s="6"/>
      <c r="E16" s="1" t="s">
        <v>913</v>
      </c>
      <c r="F16" s="12" t="s">
        <v>189</v>
      </c>
    </row>
    <row r="17" spans="1:6" ht="15" customHeight="1">
      <c r="A17" s="4" t="s">
        <v>785</v>
      </c>
      <c r="B17" s="756"/>
      <c r="C17" s="757"/>
      <c r="D17" s="6"/>
      <c r="E17" s="2" t="s">
        <v>921</v>
      </c>
      <c r="F17" s="28"/>
    </row>
    <row r="18" spans="1:6" ht="15" customHeight="1">
      <c r="A18" s="4" t="s">
        <v>786</v>
      </c>
      <c r="B18" s="758"/>
      <c r="C18" s="759"/>
      <c r="D18" s="6"/>
      <c r="E18" s="11" t="s">
        <v>922</v>
      </c>
      <c r="F18" s="28"/>
    </row>
    <row r="19" spans="1:6" ht="15" customHeight="1">
      <c r="A19" s="4" t="s">
        <v>15</v>
      </c>
      <c r="B19" s="760"/>
      <c r="C19" s="761"/>
      <c r="D19" s="6"/>
      <c r="E19" s="2" t="s">
        <v>78</v>
      </c>
      <c r="F19" s="28">
        <f>+I8P14</f>
        <v>0</v>
      </c>
    </row>
    <row r="20" spans="1:6" ht="15" customHeight="1">
      <c r="A20" s="563" t="s">
        <v>46</v>
      </c>
      <c r="B20" s="564">
        <f>SUM(B4:B19)</f>
        <v>0</v>
      </c>
      <c r="C20" s="564">
        <f>SUM(C4:C19)</f>
        <v>0</v>
      </c>
      <c r="D20" s="6"/>
      <c r="E20" s="2" t="s">
        <v>923</v>
      </c>
      <c r="F20" s="28"/>
    </row>
    <row r="21" spans="1:6" ht="12.75">
      <c r="A21" s="6"/>
      <c r="B21" s="6"/>
      <c r="C21" s="6"/>
      <c r="D21" s="6"/>
      <c r="E21" s="2" t="s">
        <v>924</v>
      </c>
      <c r="F21" s="28"/>
    </row>
    <row r="22" spans="1:6" ht="12.75">
      <c r="A22" s="6"/>
      <c r="B22" s="6"/>
      <c r="C22" s="6"/>
      <c r="D22" s="6"/>
      <c r="E22" s="2" t="s">
        <v>552</v>
      </c>
      <c r="F22" s="28"/>
    </row>
    <row r="23" spans="1:6" ht="15" customHeight="1">
      <c r="A23" s="6"/>
      <c r="B23" s="6"/>
      <c r="C23" s="6"/>
      <c r="E23" s="933" t="s">
        <v>106</v>
      </c>
      <c r="F23" s="29">
        <f>SUM(F17:F22)</f>
        <v>0</v>
      </c>
    </row>
    <row r="24" spans="1:6" ht="15" customHeight="1">
      <c r="A24" s="6"/>
      <c r="B24" s="6"/>
      <c r="C24" s="6"/>
      <c r="E24" s="934" t="s">
        <v>986</v>
      </c>
      <c r="F24" s="935">
        <f>+F14-F23</f>
        <v>0</v>
      </c>
    </row>
    <row r="25" spans="1:6" ht="15" customHeight="1">
      <c r="A25" s="6"/>
      <c r="B25" s="6"/>
      <c r="C25" s="6"/>
      <c r="F25" s="532"/>
    </row>
    <row r="26" spans="1:3" ht="15" customHeight="1">
      <c r="A26" s="6"/>
      <c r="B26" s="6"/>
      <c r="C26" s="6"/>
    </row>
    <row r="27" spans="1:3" ht="15" customHeight="1">
      <c r="A27" s="6"/>
      <c r="B27" s="6"/>
      <c r="C27" s="6"/>
    </row>
    <row r="28" spans="1:3" ht="15" customHeight="1">
      <c r="A28" s="6"/>
      <c r="B28" s="6"/>
      <c r="C28" s="6"/>
    </row>
    <row r="29" spans="1:3" ht="15" customHeight="1">
      <c r="A29" s="6"/>
      <c r="B29" s="6"/>
      <c r="C29" s="6"/>
    </row>
    <row r="30" spans="1:3" ht="15" customHeight="1">
      <c r="A30" s="6"/>
      <c r="B30" s="6"/>
      <c r="C30" s="6"/>
    </row>
    <row r="31" spans="1:3" ht="15" customHeight="1">
      <c r="A31" s="6"/>
      <c r="B31" s="6"/>
      <c r="C31" s="6"/>
    </row>
    <row r="32" spans="1:3" ht="15" customHeight="1">
      <c r="A32" s="6"/>
      <c r="B32" s="6"/>
      <c r="C32" s="6"/>
    </row>
    <row r="33" spans="1:3" ht="15" customHeight="1">
      <c r="A33" s="6"/>
      <c r="B33" s="6"/>
      <c r="C33" s="6"/>
    </row>
    <row r="34" spans="1:3" ht="15" customHeight="1">
      <c r="A34" s="6"/>
      <c r="B34" s="6"/>
      <c r="C34" s="6"/>
    </row>
    <row r="35" spans="1:3" ht="15" customHeight="1">
      <c r="A35" s="6"/>
      <c r="B35" s="6"/>
      <c r="C35" s="6"/>
    </row>
    <row r="36" spans="1:3" ht="15" customHeight="1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</sheetData>
  <sheetProtection/>
  <hyperlinks>
    <hyperlink ref="H1" location="'Inserimento dati'!A1" display="InsDati"/>
    <hyperlink ref="H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37.7109375" style="0" bestFit="1" customWidth="1"/>
    <col min="2" max="3" width="16.57421875" style="0" customWidth="1"/>
    <col min="5" max="5" width="15.8515625" style="0" customWidth="1"/>
  </cols>
  <sheetData>
    <row r="1" spans="1:5" ht="12.75">
      <c r="A1" s="531" t="s">
        <v>608</v>
      </c>
      <c r="E1" s="555" t="s">
        <v>624</v>
      </c>
    </row>
    <row r="2" spans="3:5" ht="12.75">
      <c r="C2" s="855" t="str">
        <f>"Tab. 10 - "&amp;Comune</f>
        <v>Tab. 10 - </v>
      </c>
      <c r="E2" s="748" t="s">
        <v>777</v>
      </c>
    </row>
    <row r="3" spans="1:3" ht="12.75">
      <c r="A3" s="552" t="s">
        <v>609</v>
      </c>
      <c r="B3" s="569"/>
      <c r="C3" s="570"/>
    </row>
    <row r="4" spans="1:10" ht="12.75">
      <c r="A4" s="535" t="s">
        <v>1070</v>
      </c>
      <c r="B4" s="565">
        <f>+ASCAP14</f>
        <v>0</v>
      </c>
      <c r="C4" s="566"/>
      <c r="E4" s="923" t="s">
        <v>523</v>
      </c>
      <c r="F4" s="924"/>
      <c r="G4" s="925"/>
      <c r="H4" s="926"/>
      <c r="I4" s="926"/>
      <c r="J4" s="927"/>
    </row>
    <row r="5" spans="1:3" ht="12.75">
      <c r="A5" s="535" t="s">
        <v>17</v>
      </c>
      <c r="B5" s="565"/>
      <c r="C5" s="566"/>
    </row>
    <row r="6" spans="1:3" ht="12.75">
      <c r="A6" s="535" t="s">
        <v>18</v>
      </c>
      <c r="B6" s="565"/>
      <c r="C6" s="566"/>
    </row>
    <row r="7" spans="1:3" ht="12.75">
      <c r="A7" s="535" t="s">
        <v>631</v>
      </c>
      <c r="B7" s="565"/>
      <c r="C7" s="566"/>
    </row>
    <row r="8" spans="1:3" ht="12.75">
      <c r="A8" s="535" t="s">
        <v>19</v>
      </c>
      <c r="B8" s="565"/>
      <c r="C8" s="566"/>
    </row>
    <row r="9" spans="1:3" ht="12.75">
      <c r="A9" s="1124" t="s">
        <v>610</v>
      </c>
      <c r="B9" s="1125"/>
      <c r="C9" s="571">
        <f>SUM(B4:B8)</f>
        <v>0</v>
      </c>
    </row>
    <row r="10" spans="1:3" ht="12.75">
      <c r="A10" s="1128"/>
      <c r="B10" s="1129"/>
      <c r="C10" s="1130"/>
    </row>
    <row r="11" spans="1:3" ht="12.75">
      <c r="A11" s="572" t="s">
        <v>611</v>
      </c>
      <c r="B11" s="573"/>
      <c r="C11" s="574"/>
    </row>
    <row r="12" spans="1:3" ht="12.75">
      <c r="A12" s="535" t="s">
        <v>632</v>
      </c>
      <c r="B12" s="565"/>
      <c r="C12" s="566"/>
    </row>
    <row r="13" spans="1:3" ht="12.75">
      <c r="A13" s="535" t="s">
        <v>141</v>
      </c>
      <c r="B13" s="565"/>
      <c r="C13" s="566"/>
    </row>
    <row r="14" spans="1:3" ht="12.75">
      <c r="A14" s="535" t="s">
        <v>633</v>
      </c>
      <c r="B14" s="565"/>
      <c r="C14" s="566"/>
    </row>
    <row r="15" spans="1:3" ht="12.75">
      <c r="A15" s="535" t="s">
        <v>142</v>
      </c>
      <c r="B15" s="565"/>
      <c r="C15" s="566"/>
    </row>
    <row r="16" spans="1:3" ht="12.75">
      <c r="A16" s="535" t="s">
        <v>20</v>
      </c>
      <c r="B16" s="565"/>
      <c r="C16" s="566"/>
    </row>
    <row r="17" spans="1:3" ht="12.75">
      <c r="A17" s="535" t="s">
        <v>21</v>
      </c>
      <c r="B17" s="565"/>
      <c r="C17" s="566"/>
    </row>
    <row r="18" spans="1:3" ht="12.75">
      <c r="A18" s="535" t="s">
        <v>612</v>
      </c>
      <c r="B18" s="565"/>
      <c r="C18" s="566"/>
    </row>
    <row r="19" spans="1:3" ht="12.75">
      <c r="A19" s="553" t="s">
        <v>22</v>
      </c>
      <c r="B19" s="567"/>
      <c r="C19" s="568"/>
    </row>
    <row r="20" spans="1:3" ht="12.75">
      <c r="A20" s="1124" t="s">
        <v>613</v>
      </c>
      <c r="B20" s="1125"/>
      <c r="C20" s="571">
        <f>SUM(B12:B19)</f>
        <v>0</v>
      </c>
    </row>
    <row r="21" spans="1:3" ht="12.75">
      <c r="A21" s="1126" t="s">
        <v>614</v>
      </c>
      <c r="B21" s="1127"/>
      <c r="C21" s="575">
        <f>C9+C20</f>
        <v>0</v>
      </c>
    </row>
    <row r="22" spans="1:3" ht="12.75">
      <c r="A22" s="1126" t="s">
        <v>615</v>
      </c>
      <c r="B22" s="1127"/>
      <c r="C22" s="575">
        <f>+ST2P14</f>
        <v>0</v>
      </c>
    </row>
    <row r="23" ht="13.5" thickBot="1"/>
    <row r="24" spans="2:3" ht="13.5" thickBot="1">
      <c r="B24" s="1012" t="s">
        <v>1071</v>
      </c>
      <c r="C24" s="1013">
        <f>+C21-C22</f>
        <v>0</v>
      </c>
    </row>
  </sheetData>
  <sheetProtection/>
  <mergeCells count="5">
    <mergeCell ref="A20:B20"/>
    <mergeCell ref="A21:B21"/>
    <mergeCell ref="A22:B22"/>
    <mergeCell ref="A9:B9"/>
    <mergeCell ref="A10:C10"/>
  </mergeCells>
  <hyperlinks>
    <hyperlink ref="E1" location="'Inserimento dati'!A1" display="InsDati"/>
    <hyperlink ref="E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ANCREL.it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 consuntivo 2012</dc:title>
  <dc:subject>Tabelle x word</dc:subject>
  <dc:creator>Dott. Sergio Moretti</dc:creator>
  <cp:keywords>Ancrel 2013</cp:keywords>
  <dc:description>Tabelle ad uso della relazione al conto consuntivo 2012</dc:description>
  <cp:lastModifiedBy>Sergio Moretti</cp:lastModifiedBy>
  <cp:lastPrinted>2014-01-12T16:22:34Z</cp:lastPrinted>
  <dcterms:created xsi:type="dcterms:W3CDTF">1996-11-05T10:16:36Z</dcterms:created>
  <dcterms:modified xsi:type="dcterms:W3CDTF">2014-02-05T10:08:10Z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